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DELL\Google Диск\Сайт_Исходные файлы\"/>
    </mc:Choice>
  </mc:AlternateContent>
  <bookViews>
    <workbookView xWindow="0" yWindow="0" windowWidth="20490" windowHeight="7530" tabRatio="599"/>
  </bookViews>
  <sheets>
    <sheet name="Содержание" sheetId="7" r:id="rId1"/>
    <sheet name="Продажи" sheetId="3" r:id="rId2"/>
    <sheet name="Операционные_затраты" sheetId="5" r:id="rId3"/>
    <sheet name="Cash Flow" sheetId="4" r:id="rId4"/>
    <sheet name="Оценка" sheetId="6" r:id="rId5"/>
    <sheet name="Инфо" sheetId="8" r:id="rId6"/>
  </sheets>
  <definedNames>
    <definedName name="_xlnm.Print_Area" localSheetId="3">'Cash Flow'!$A$1:$J$33</definedName>
    <definedName name="_xlnm.Print_Area" localSheetId="2">Операционные_затраты!$A$1:$J$59</definedName>
  </definedNames>
  <calcPr calcId="162913"/>
</workbook>
</file>

<file path=xl/calcChain.xml><?xml version="1.0" encoding="utf-8"?>
<calcChain xmlns="http://schemas.openxmlformats.org/spreadsheetml/2006/main">
  <c r="P6" i="3" l="1"/>
  <c r="H2" i="5"/>
  <c r="H2" i="4"/>
  <c r="D2" i="6"/>
  <c r="Q6" i="3"/>
  <c r="I2" i="5"/>
  <c r="I2" i="4"/>
  <c r="E2" i="6"/>
  <c r="R6" i="3"/>
  <c r="J2" i="5"/>
  <c r="J2" i="4"/>
  <c r="F2" i="6"/>
  <c r="S6" i="3"/>
  <c r="K2" i="5"/>
  <c r="K2" i="4"/>
  <c r="G2" i="6"/>
  <c r="T6" i="3"/>
  <c r="L2" i="5"/>
  <c r="L2" i="4"/>
  <c r="H2" i="6"/>
  <c r="U6" i="3"/>
  <c r="M2" i="5"/>
  <c r="M2" i="4"/>
  <c r="I2" i="6"/>
  <c r="V6" i="3"/>
  <c r="N2" i="5"/>
  <c r="N2" i="4"/>
  <c r="J2" i="6"/>
  <c r="W6" i="3"/>
  <c r="O2" i="5"/>
  <c r="O2" i="4"/>
  <c r="K2" i="6"/>
  <c r="X6" i="3"/>
  <c r="P2" i="5"/>
  <c r="P2" i="4"/>
  <c r="L2" i="6"/>
  <c r="G2" i="5"/>
  <c r="G2" i="4"/>
  <c r="C2" i="6"/>
  <c r="Q128" i="3"/>
  <c r="R128" i="3"/>
  <c r="O122" i="3"/>
  <c r="P122" i="3"/>
  <c r="O116" i="3"/>
  <c r="P116" i="3"/>
  <c r="Q116" i="3"/>
  <c r="R116" i="3"/>
  <c r="S116" i="3"/>
  <c r="T116" i="3"/>
  <c r="U116" i="3"/>
  <c r="V116" i="3"/>
  <c r="W116" i="3"/>
  <c r="X116" i="3"/>
  <c r="O110" i="3"/>
  <c r="P110" i="3"/>
  <c r="Q110" i="3"/>
  <c r="R110" i="3"/>
  <c r="S110" i="3"/>
  <c r="T110" i="3"/>
  <c r="U110" i="3"/>
  <c r="V110" i="3"/>
  <c r="W110" i="3"/>
  <c r="X110" i="3"/>
  <c r="O104" i="3"/>
  <c r="P104" i="3"/>
  <c r="Q104" i="3"/>
  <c r="R104" i="3"/>
  <c r="S104" i="3"/>
  <c r="T104" i="3"/>
  <c r="U104" i="3"/>
  <c r="V104" i="3"/>
  <c r="W104" i="3"/>
  <c r="X104" i="3"/>
  <c r="O98" i="3"/>
  <c r="P98" i="3"/>
  <c r="Q98" i="3"/>
  <c r="R98" i="3"/>
  <c r="S98" i="3"/>
  <c r="T98" i="3"/>
  <c r="U98" i="3"/>
  <c r="V98" i="3"/>
  <c r="W98" i="3"/>
  <c r="X98" i="3"/>
  <c r="O92" i="3"/>
  <c r="P92" i="3"/>
  <c r="Q92" i="3"/>
  <c r="R92" i="3"/>
  <c r="S92" i="3"/>
  <c r="T92" i="3"/>
  <c r="U92" i="3"/>
  <c r="V92" i="3"/>
  <c r="W92" i="3"/>
  <c r="X92" i="3"/>
  <c r="O86" i="3"/>
  <c r="P86" i="3"/>
  <c r="Q86" i="3"/>
  <c r="R86" i="3"/>
  <c r="S86" i="3"/>
  <c r="T86" i="3"/>
  <c r="U86" i="3"/>
  <c r="V86" i="3"/>
  <c r="W86" i="3"/>
  <c r="X86" i="3"/>
  <c r="O80" i="3"/>
  <c r="P80" i="3"/>
  <c r="Q80" i="3"/>
  <c r="R80" i="3"/>
  <c r="S80" i="3"/>
  <c r="T80" i="3"/>
  <c r="U80" i="3"/>
  <c r="V80" i="3"/>
  <c r="W80" i="3"/>
  <c r="X80" i="3"/>
  <c r="C74" i="3"/>
  <c r="O74" i="3"/>
  <c r="P74" i="3"/>
  <c r="Q74" i="3"/>
  <c r="R74" i="3"/>
  <c r="S74" i="3"/>
  <c r="T74" i="3"/>
  <c r="U74" i="3"/>
  <c r="V74" i="3"/>
  <c r="W74" i="3"/>
  <c r="X74" i="3"/>
  <c r="O68" i="3"/>
  <c r="P68" i="3"/>
  <c r="Q68" i="3"/>
  <c r="R68" i="3"/>
  <c r="S68" i="3"/>
  <c r="T68" i="3"/>
  <c r="U68" i="3"/>
  <c r="V68" i="3"/>
  <c r="W68" i="3"/>
  <c r="X68" i="3"/>
  <c r="O62" i="3"/>
  <c r="P62" i="3"/>
  <c r="Q62" i="3"/>
  <c r="R62" i="3"/>
  <c r="S62" i="3"/>
  <c r="T62" i="3"/>
  <c r="U62" i="3"/>
  <c r="V62" i="3"/>
  <c r="W62" i="3"/>
  <c r="X62" i="3"/>
  <c r="O56" i="3"/>
  <c r="P56" i="3"/>
  <c r="Q56" i="3"/>
  <c r="R56" i="3"/>
  <c r="S56" i="3"/>
  <c r="T56" i="3"/>
  <c r="U56" i="3"/>
  <c r="V56" i="3"/>
  <c r="W56" i="3"/>
  <c r="X56" i="3"/>
  <c r="O50" i="3"/>
  <c r="P50" i="3"/>
  <c r="Q50" i="3"/>
  <c r="R50" i="3"/>
  <c r="S50" i="3"/>
  <c r="T50" i="3"/>
  <c r="U50" i="3"/>
  <c r="V50" i="3"/>
  <c r="W50" i="3"/>
  <c r="X50" i="3"/>
  <c r="O44" i="3"/>
  <c r="P44" i="3"/>
  <c r="Q44" i="3"/>
  <c r="R44" i="3"/>
  <c r="S44" i="3"/>
  <c r="T44" i="3"/>
  <c r="U44" i="3"/>
  <c r="V44" i="3"/>
  <c r="W44" i="3"/>
  <c r="X44" i="3"/>
  <c r="O38" i="3"/>
  <c r="P38" i="3"/>
  <c r="Q38" i="3"/>
  <c r="R38" i="3"/>
  <c r="S38" i="3"/>
  <c r="T38" i="3"/>
  <c r="U38" i="3"/>
  <c r="V38" i="3"/>
  <c r="W38" i="3"/>
  <c r="X38" i="3"/>
  <c r="O32" i="3"/>
  <c r="P32" i="3"/>
  <c r="Q32" i="3"/>
  <c r="R32" i="3"/>
  <c r="S32" i="3"/>
  <c r="T32" i="3"/>
  <c r="U32" i="3"/>
  <c r="V32" i="3"/>
  <c r="W32" i="3"/>
  <c r="X32" i="3"/>
  <c r="O26" i="3"/>
  <c r="P26" i="3"/>
  <c r="Q26" i="3"/>
  <c r="R26" i="3"/>
  <c r="S26" i="3"/>
  <c r="T26" i="3"/>
  <c r="U26" i="3"/>
  <c r="V26" i="3"/>
  <c r="W26" i="3"/>
  <c r="X26" i="3"/>
  <c r="O20" i="3"/>
  <c r="P20" i="3"/>
  <c r="Q20" i="3"/>
  <c r="R20" i="3"/>
  <c r="S20" i="3"/>
  <c r="T20" i="3"/>
  <c r="U20" i="3"/>
  <c r="V20" i="3"/>
  <c r="W20" i="3"/>
  <c r="X20" i="3"/>
  <c r="O14" i="3"/>
  <c r="P14" i="3"/>
  <c r="Q14" i="3"/>
  <c r="R14" i="3"/>
  <c r="S14" i="3"/>
  <c r="T14" i="3"/>
  <c r="U14" i="3"/>
  <c r="V14" i="3"/>
  <c r="W14" i="3"/>
  <c r="X14" i="3"/>
  <c r="O8" i="3"/>
  <c r="P8" i="3"/>
  <c r="Q8" i="3"/>
  <c r="R8" i="3"/>
  <c r="S8" i="3"/>
  <c r="T8" i="3"/>
  <c r="U8" i="3"/>
  <c r="V8" i="3"/>
  <c r="W8" i="3"/>
  <c r="X8" i="3"/>
  <c r="S128" i="3"/>
  <c r="T128" i="3"/>
  <c r="I135" i="3"/>
  <c r="E5" i="5"/>
  <c r="E7" i="5"/>
  <c r="J135" i="3"/>
  <c r="K135" i="3"/>
  <c r="N135" i="3"/>
  <c r="M135" i="3"/>
  <c r="F5" i="5"/>
  <c r="L135" i="3"/>
  <c r="C135" i="3"/>
  <c r="D135" i="3"/>
  <c r="E135" i="3"/>
  <c r="F135" i="3"/>
  <c r="D5" i="5"/>
  <c r="G135" i="3"/>
  <c r="H135" i="3"/>
  <c r="O128" i="3"/>
  <c r="O135" i="3"/>
  <c r="E10" i="5"/>
  <c r="E6" i="4"/>
  <c r="C5" i="5"/>
  <c r="C10" i="5"/>
  <c r="C16" i="5"/>
  <c r="C49" i="5"/>
  <c r="C47" i="5"/>
  <c r="D10" i="5"/>
  <c r="D16" i="5"/>
  <c r="D49" i="5"/>
  <c r="D58" i="5"/>
  <c r="D47" i="5"/>
  <c r="E37" i="5"/>
  <c r="E21" i="5"/>
  <c r="E52" i="5"/>
  <c r="E55" i="5"/>
  <c r="F37" i="5"/>
  <c r="F21" i="5"/>
  <c r="F52" i="5"/>
  <c r="F55" i="5"/>
  <c r="J37" i="5"/>
  <c r="I37" i="5"/>
  <c r="H37" i="5"/>
  <c r="D8" i="4"/>
  <c r="D13" i="4"/>
  <c r="D23" i="4"/>
  <c r="D19" i="4"/>
  <c r="D30" i="4"/>
  <c r="C8" i="4"/>
  <c r="C23" i="4"/>
  <c r="C13" i="4"/>
  <c r="C19" i="4"/>
  <c r="D20" i="4"/>
  <c r="C20" i="4"/>
  <c r="D18" i="4"/>
  <c r="D14" i="4"/>
  <c r="C14" i="4"/>
  <c r="D12" i="4"/>
  <c r="C30" i="4"/>
  <c r="C18" i="4"/>
  <c r="C12" i="4"/>
  <c r="L37" i="5"/>
  <c r="M37" i="5"/>
  <c r="N37" i="5"/>
  <c r="O37" i="5"/>
  <c r="P37" i="5"/>
  <c r="K37" i="5"/>
  <c r="E17" i="4"/>
  <c r="G5" i="5"/>
  <c r="D26" i="4"/>
  <c r="E9" i="4"/>
  <c r="D9" i="4"/>
  <c r="D7" i="4"/>
  <c r="C9" i="4"/>
  <c r="C26" i="4"/>
  <c r="C7" i="4"/>
  <c r="D25" i="5"/>
  <c r="C25" i="5"/>
  <c r="G21" i="5"/>
  <c r="G23" i="5"/>
  <c r="D23" i="5"/>
  <c r="C23" i="5"/>
  <c r="G55" i="5"/>
  <c r="G56" i="5"/>
  <c r="G52" i="5"/>
  <c r="G53" i="5"/>
  <c r="G37" i="5"/>
  <c r="G38" i="5"/>
  <c r="D59" i="5"/>
  <c r="D56" i="5"/>
  <c r="D53" i="5"/>
  <c r="D50" i="5"/>
  <c r="C50" i="5"/>
  <c r="D45" i="5"/>
  <c r="D42" i="5"/>
  <c r="D38" i="5"/>
  <c r="D35" i="5"/>
  <c r="D34" i="5"/>
  <c r="D30" i="5"/>
  <c r="D29" i="5"/>
  <c r="D13" i="5"/>
  <c r="C56" i="5"/>
  <c r="C53" i="5"/>
  <c r="C30" i="5"/>
  <c r="C45" i="5"/>
  <c r="C42" i="5"/>
  <c r="C38" i="5"/>
  <c r="C35" i="5"/>
  <c r="C34" i="5"/>
  <c r="C29" i="5"/>
  <c r="D24" i="5"/>
  <c r="C24" i="5"/>
  <c r="C13" i="5"/>
  <c r="D8" i="5"/>
  <c r="D17" i="5"/>
  <c r="C17" i="5"/>
  <c r="C18" i="6"/>
  <c r="C10" i="6"/>
  <c r="C22" i="6"/>
  <c r="C26" i="6"/>
  <c r="P131" i="3"/>
  <c r="Q131" i="3"/>
  <c r="O132" i="3"/>
  <c r="O133" i="3"/>
  <c r="P125" i="3"/>
  <c r="Q125" i="3"/>
  <c r="P126" i="3"/>
  <c r="P127" i="3"/>
  <c r="O126" i="3"/>
  <c r="O127" i="3"/>
  <c r="P119" i="3"/>
  <c r="Q119" i="3"/>
  <c r="R119" i="3"/>
  <c r="S119" i="3"/>
  <c r="Q120" i="3"/>
  <c r="R120" i="3"/>
  <c r="Q121" i="3"/>
  <c r="R121" i="3"/>
  <c r="P120" i="3"/>
  <c r="P121" i="3"/>
  <c r="O120" i="3"/>
  <c r="O121" i="3"/>
  <c r="P113" i="3"/>
  <c r="Q113" i="3"/>
  <c r="R113" i="3"/>
  <c r="Q114" i="3"/>
  <c r="Q115" i="3"/>
  <c r="P114" i="3"/>
  <c r="P115" i="3"/>
  <c r="O114" i="3"/>
  <c r="O115" i="3"/>
  <c r="P107" i="3"/>
  <c r="O108" i="3"/>
  <c r="O109" i="3"/>
  <c r="P101" i="3"/>
  <c r="P102" i="3"/>
  <c r="P103" i="3"/>
  <c r="Q101" i="3"/>
  <c r="R101" i="3"/>
  <c r="R102" i="3"/>
  <c r="R103" i="3"/>
  <c r="Q102" i="3"/>
  <c r="S101" i="3"/>
  <c r="T101" i="3"/>
  <c r="T102" i="3"/>
  <c r="Q103" i="3"/>
  <c r="T103" i="3"/>
  <c r="O102" i="3"/>
  <c r="O103" i="3"/>
  <c r="P95" i="3"/>
  <c r="P96" i="3"/>
  <c r="P97" i="3"/>
  <c r="Q95" i="3"/>
  <c r="O96" i="3"/>
  <c r="O97" i="3"/>
  <c r="P89" i="3"/>
  <c r="Q89" i="3"/>
  <c r="Q90" i="3"/>
  <c r="Q91" i="3"/>
  <c r="O90" i="3"/>
  <c r="O91" i="3"/>
  <c r="P83" i="3"/>
  <c r="O84" i="3"/>
  <c r="O85" i="3"/>
  <c r="P77" i="3"/>
  <c r="P78" i="3"/>
  <c r="Q77" i="3"/>
  <c r="R77" i="3"/>
  <c r="R78" i="3"/>
  <c r="R79" i="3"/>
  <c r="P79" i="3"/>
  <c r="O78" i="3"/>
  <c r="O79" i="3"/>
  <c r="P71" i="3"/>
  <c r="P72" i="3"/>
  <c r="P73" i="3"/>
  <c r="Q71" i="3"/>
  <c r="Q72" i="3"/>
  <c r="Q73" i="3"/>
  <c r="R71" i="3"/>
  <c r="R72" i="3"/>
  <c r="R73" i="3"/>
  <c r="O72" i="3"/>
  <c r="O73" i="3"/>
  <c r="P65" i="3"/>
  <c r="Q65" i="3"/>
  <c r="Q66" i="3"/>
  <c r="Q67" i="3"/>
  <c r="R65" i="3"/>
  <c r="S65" i="3"/>
  <c r="S66" i="3"/>
  <c r="R66" i="3"/>
  <c r="R67" i="3"/>
  <c r="S67" i="3"/>
  <c r="O66" i="3"/>
  <c r="O67" i="3"/>
  <c r="P59" i="3"/>
  <c r="P60" i="3"/>
  <c r="P61" i="3"/>
  <c r="O60" i="3"/>
  <c r="O61" i="3"/>
  <c r="P53" i="3"/>
  <c r="P54" i="3"/>
  <c r="Q53" i="3"/>
  <c r="R53" i="3"/>
  <c r="R54" i="3"/>
  <c r="R55" i="3"/>
  <c r="Q54" i="3"/>
  <c r="S53" i="3"/>
  <c r="T53" i="3"/>
  <c r="T54" i="3"/>
  <c r="P55" i="3"/>
  <c r="Q55" i="3"/>
  <c r="T55" i="3"/>
  <c r="O54" i="3"/>
  <c r="O55" i="3"/>
  <c r="P47" i="3"/>
  <c r="P48" i="3"/>
  <c r="P49" i="3"/>
  <c r="Q47" i="3"/>
  <c r="O48" i="3"/>
  <c r="O49" i="3"/>
  <c r="P41" i="3"/>
  <c r="Q41" i="3"/>
  <c r="Q42" i="3"/>
  <c r="Q43" i="3"/>
  <c r="O42" i="3"/>
  <c r="O43" i="3"/>
  <c r="P35" i="3"/>
  <c r="P36" i="3"/>
  <c r="P37" i="3"/>
  <c r="O36" i="3"/>
  <c r="O37" i="3"/>
  <c r="P30" i="3"/>
  <c r="P31" i="3"/>
  <c r="Q30" i="3"/>
  <c r="Q31" i="3"/>
  <c r="R30" i="3"/>
  <c r="S30" i="3"/>
  <c r="T30" i="3"/>
  <c r="T31" i="3"/>
  <c r="U30" i="3"/>
  <c r="U31" i="3"/>
  <c r="V30" i="3"/>
  <c r="W30" i="3"/>
  <c r="X30" i="3"/>
  <c r="X31" i="3"/>
  <c r="R31" i="3"/>
  <c r="S31" i="3"/>
  <c r="V31" i="3"/>
  <c r="W31" i="3"/>
  <c r="O30" i="3"/>
  <c r="O31" i="3"/>
  <c r="P24" i="3"/>
  <c r="P25" i="3"/>
  <c r="Q24" i="3"/>
  <c r="Q25" i="3"/>
  <c r="R24" i="3"/>
  <c r="S24" i="3"/>
  <c r="T24" i="3"/>
  <c r="T25" i="3"/>
  <c r="U24" i="3"/>
  <c r="U25" i="3"/>
  <c r="V24" i="3"/>
  <c r="W24" i="3"/>
  <c r="X24" i="3"/>
  <c r="X25" i="3"/>
  <c r="R25" i="3"/>
  <c r="S25" i="3"/>
  <c r="V25" i="3"/>
  <c r="W25" i="3"/>
  <c r="O24" i="3"/>
  <c r="O25" i="3"/>
  <c r="P18" i="3"/>
  <c r="P19" i="3"/>
  <c r="Q18" i="3"/>
  <c r="Q19" i="3"/>
  <c r="R18" i="3"/>
  <c r="S18" i="3"/>
  <c r="T18" i="3"/>
  <c r="T19" i="3"/>
  <c r="U18" i="3"/>
  <c r="U19" i="3"/>
  <c r="V18" i="3"/>
  <c r="W18" i="3"/>
  <c r="X18" i="3"/>
  <c r="X19" i="3"/>
  <c r="R19" i="3"/>
  <c r="S19" i="3"/>
  <c r="V19" i="3"/>
  <c r="W19" i="3"/>
  <c r="O18" i="3"/>
  <c r="O19" i="3"/>
  <c r="P12" i="3"/>
  <c r="P13" i="3"/>
  <c r="Q12" i="3"/>
  <c r="Q13" i="3"/>
  <c r="R12" i="3"/>
  <c r="S12" i="3"/>
  <c r="T12" i="3"/>
  <c r="T13" i="3"/>
  <c r="U12" i="3"/>
  <c r="U13" i="3"/>
  <c r="V12" i="3"/>
  <c r="W12" i="3"/>
  <c r="X12" i="3"/>
  <c r="X13" i="3"/>
  <c r="R13" i="3"/>
  <c r="S13" i="3"/>
  <c r="V13" i="3"/>
  <c r="W13" i="3"/>
  <c r="O12" i="3"/>
  <c r="O13" i="3"/>
  <c r="Q35" i="3"/>
  <c r="P42" i="3"/>
  <c r="P43" i="3"/>
  <c r="S54" i="3"/>
  <c r="S55" i="3"/>
  <c r="T65" i="3"/>
  <c r="S71" i="3"/>
  <c r="Q78" i="3"/>
  <c r="Q79" i="3"/>
  <c r="P90" i="3"/>
  <c r="P91" i="3"/>
  <c r="S102" i="3"/>
  <c r="S103" i="3"/>
  <c r="Q83" i="3"/>
  <c r="P84" i="3"/>
  <c r="P85" i="3"/>
  <c r="S113" i="3"/>
  <c r="R114" i="3"/>
  <c r="R115" i="3"/>
  <c r="Q126" i="3"/>
  <c r="R125" i="3"/>
  <c r="R41" i="3"/>
  <c r="R47" i="3"/>
  <c r="Q48" i="3"/>
  <c r="Q49" i="3"/>
  <c r="U53" i="3"/>
  <c r="Q59" i="3"/>
  <c r="P66" i="3"/>
  <c r="P67" i="3"/>
  <c r="S77" i="3"/>
  <c r="R89" i="3"/>
  <c r="R95" i="3"/>
  <c r="Q96" i="3"/>
  <c r="Q97" i="3"/>
  <c r="U101" i="3"/>
  <c r="Q107" i="3"/>
  <c r="P108" i="3"/>
  <c r="P109" i="3"/>
  <c r="T119" i="3"/>
  <c r="S120" i="3"/>
  <c r="S121" i="3"/>
  <c r="R131" i="3"/>
  <c r="Q132" i="3"/>
  <c r="Q133" i="3"/>
  <c r="P132" i="3"/>
  <c r="P133" i="3"/>
  <c r="C58" i="5"/>
  <c r="E8" i="4"/>
  <c r="E19" i="4"/>
  <c r="D32" i="4"/>
  <c r="P135" i="3"/>
  <c r="Q122" i="3"/>
  <c r="E12" i="5"/>
  <c r="E25" i="4"/>
  <c r="F7" i="5"/>
  <c r="G7" i="5"/>
  <c r="G8" i="5"/>
  <c r="U128" i="3"/>
  <c r="E41" i="5"/>
  <c r="E28" i="5"/>
  <c r="E44" i="5"/>
  <c r="E11" i="4"/>
  <c r="E16" i="5"/>
  <c r="E33" i="5"/>
  <c r="E25" i="5"/>
  <c r="E24" i="5"/>
  <c r="T120" i="3"/>
  <c r="T121" i="3"/>
  <c r="U119" i="3"/>
  <c r="S47" i="3"/>
  <c r="R48" i="3"/>
  <c r="R49" i="3"/>
  <c r="U65" i="3"/>
  <c r="T66" i="3"/>
  <c r="T67" i="3"/>
  <c r="V128" i="3"/>
  <c r="F10" i="5"/>
  <c r="R96" i="3"/>
  <c r="R97" i="3"/>
  <c r="S95" i="3"/>
  <c r="R59" i="3"/>
  <c r="Q60" i="3"/>
  <c r="Q61" i="3"/>
  <c r="S41" i="3"/>
  <c r="R42" i="3"/>
  <c r="R43" i="3"/>
  <c r="S114" i="3"/>
  <c r="S115" i="3"/>
  <c r="T113" i="3"/>
  <c r="S89" i="3"/>
  <c r="R90" i="3"/>
  <c r="R91" i="3"/>
  <c r="R122" i="3"/>
  <c r="Q135" i="3"/>
  <c r="Q127" i="3"/>
  <c r="P136" i="3"/>
  <c r="H6" i="5"/>
  <c r="H5" i="5"/>
  <c r="G10" i="5"/>
  <c r="C32" i="4"/>
  <c r="C59" i="5"/>
  <c r="R132" i="3"/>
  <c r="R133" i="3"/>
  <c r="S131" i="3"/>
  <c r="Q108" i="3"/>
  <c r="Q109" i="3"/>
  <c r="R107" i="3"/>
  <c r="V53" i="3"/>
  <c r="U54" i="3"/>
  <c r="U55" i="3"/>
  <c r="R126" i="3"/>
  <c r="S125" i="3"/>
  <c r="E30" i="4"/>
  <c r="V101" i="3"/>
  <c r="U102" i="3"/>
  <c r="U103" i="3"/>
  <c r="T77" i="3"/>
  <c r="S78" i="3"/>
  <c r="S79" i="3"/>
  <c r="R83" i="3"/>
  <c r="Q84" i="3"/>
  <c r="Q85" i="3"/>
  <c r="T71" i="3"/>
  <c r="S72" i="3"/>
  <c r="S73" i="3"/>
  <c r="R35" i="3"/>
  <c r="Q36" i="3"/>
  <c r="Q37" i="3"/>
  <c r="V54" i="3"/>
  <c r="V55" i="3"/>
  <c r="W53" i="3"/>
  <c r="I5" i="5"/>
  <c r="Q136" i="3"/>
  <c r="I6" i="5"/>
  <c r="T114" i="3"/>
  <c r="T115" i="3"/>
  <c r="U113" i="3"/>
  <c r="F17" i="4"/>
  <c r="F6" i="4"/>
  <c r="F25" i="4"/>
  <c r="F12" i="5"/>
  <c r="U120" i="3"/>
  <c r="U121" i="3"/>
  <c r="V119" i="3"/>
  <c r="E13" i="4"/>
  <c r="E14" i="4"/>
  <c r="S83" i="3"/>
  <c r="R84" i="3"/>
  <c r="R85" i="3"/>
  <c r="S107" i="3"/>
  <c r="R108" i="3"/>
  <c r="R109" i="3"/>
  <c r="H7" i="5"/>
  <c r="H10" i="5"/>
  <c r="H52" i="5"/>
  <c r="H55" i="5"/>
  <c r="S122" i="3"/>
  <c r="R135" i="3"/>
  <c r="R127" i="3"/>
  <c r="S59" i="3"/>
  <c r="R60" i="3"/>
  <c r="R61" i="3"/>
  <c r="U66" i="3"/>
  <c r="U67" i="3"/>
  <c r="V65" i="3"/>
  <c r="S35" i="3"/>
  <c r="R36" i="3"/>
  <c r="R37" i="3"/>
  <c r="T95" i="3"/>
  <c r="S96" i="3"/>
  <c r="S97" i="3"/>
  <c r="W128" i="3"/>
  <c r="E32" i="5"/>
  <c r="E27" i="5"/>
  <c r="V102" i="3"/>
  <c r="V103" i="3"/>
  <c r="W101" i="3"/>
  <c r="S126" i="3"/>
  <c r="T125" i="3"/>
  <c r="U71" i="3"/>
  <c r="T72" i="3"/>
  <c r="T73" i="3"/>
  <c r="T78" i="3"/>
  <c r="T79" i="3"/>
  <c r="U77" i="3"/>
  <c r="S132" i="3"/>
  <c r="S133" i="3"/>
  <c r="T131" i="3"/>
  <c r="S90" i="3"/>
  <c r="S91" i="3"/>
  <c r="T89" i="3"/>
  <c r="S42" i="3"/>
  <c r="S43" i="3"/>
  <c r="T41" i="3"/>
  <c r="T47" i="3"/>
  <c r="S48" i="3"/>
  <c r="S49" i="3"/>
  <c r="E17" i="5"/>
  <c r="H25" i="4"/>
  <c r="H30" i="4"/>
  <c r="H6" i="4"/>
  <c r="H12" i="5"/>
  <c r="U47" i="3"/>
  <c r="T48" i="3"/>
  <c r="T49" i="3"/>
  <c r="X128" i="3"/>
  <c r="W65" i="3"/>
  <c r="V66" i="3"/>
  <c r="V67" i="3"/>
  <c r="T107" i="3"/>
  <c r="S108" i="3"/>
  <c r="S109" i="3"/>
  <c r="E23" i="4"/>
  <c r="E20" i="4"/>
  <c r="F11" i="4"/>
  <c r="F33" i="5"/>
  <c r="F44" i="5"/>
  <c r="F41" i="5"/>
  <c r="G41" i="5"/>
  <c r="F28" i="5"/>
  <c r="F25" i="5"/>
  <c r="F24" i="5"/>
  <c r="G12" i="5"/>
  <c r="G19" i="4"/>
  <c r="F19" i="4"/>
  <c r="G17" i="4"/>
  <c r="I7" i="5"/>
  <c r="I10" i="5"/>
  <c r="I52" i="5"/>
  <c r="I55" i="5"/>
  <c r="U41" i="3"/>
  <c r="T42" i="3"/>
  <c r="T43" i="3"/>
  <c r="X101" i="3"/>
  <c r="X102" i="3"/>
  <c r="X103" i="3"/>
  <c r="W102" i="3"/>
  <c r="W103" i="3"/>
  <c r="J5" i="5"/>
  <c r="R136" i="3"/>
  <c r="J6" i="5"/>
  <c r="F30" i="4"/>
  <c r="G25" i="4"/>
  <c r="V113" i="3"/>
  <c r="U114" i="3"/>
  <c r="U115" i="3"/>
  <c r="S135" i="3"/>
  <c r="T122" i="3"/>
  <c r="S127" i="3"/>
  <c r="S84" i="3"/>
  <c r="S85" i="3"/>
  <c r="T83" i="3"/>
  <c r="V120" i="3"/>
  <c r="V121" i="3"/>
  <c r="W119" i="3"/>
  <c r="G8" i="4"/>
  <c r="F9" i="4"/>
  <c r="F8" i="4"/>
  <c r="G6" i="4"/>
  <c r="X53" i="3"/>
  <c r="X54" i="3"/>
  <c r="X55" i="3"/>
  <c r="W54" i="3"/>
  <c r="W55" i="3"/>
  <c r="T132" i="3"/>
  <c r="T133" i="3"/>
  <c r="U131" i="3"/>
  <c r="S36" i="3"/>
  <c r="S37" i="3"/>
  <c r="T35" i="3"/>
  <c r="U72" i="3"/>
  <c r="U73" i="3"/>
  <c r="V71" i="3"/>
  <c r="U89" i="3"/>
  <c r="T90" i="3"/>
  <c r="T91" i="3"/>
  <c r="V77" i="3"/>
  <c r="U78" i="3"/>
  <c r="U79" i="3"/>
  <c r="U125" i="3"/>
  <c r="T126" i="3"/>
  <c r="U95" i="3"/>
  <c r="T96" i="3"/>
  <c r="T97" i="3"/>
  <c r="E47" i="5"/>
  <c r="S60" i="3"/>
  <c r="S61" i="3"/>
  <c r="T59" i="3"/>
  <c r="F16" i="5"/>
  <c r="T36" i="3"/>
  <c r="T37" i="3"/>
  <c r="U35" i="3"/>
  <c r="U83" i="3"/>
  <c r="T84" i="3"/>
  <c r="T85" i="3"/>
  <c r="S136" i="3"/>
  <c r="K6" i="5"/>
  <c r="K5" i="5"/>
  <c r="G30" i="4"/>
  <c r="G26" i="4"/>
  <c r="G18" i="4"/>
  <c r="G24" i="5"/>
  <c r="G13" i="5"/>
  <c r="G25" i="5"/>
  <c r="G16" i="5"/>
  <c r="G17" i="5"/>
  <c r="G42" i="5"/>
  <c r="H11" i="4"/>
  <c r="H33" i="5"/>
  <c r="H32" i="5"/>
  <c r="H22" i="5"/>
  <c r="H21" i="5"/>
  <c r="H24" i="5"/>
  <c r="H17" i="4"/>
  <c r="H44" i="5"/>
  <c r="H41" i="5"/>
  <c r="H28" i="5"/>
  <c r="H27" i="5"/>
  <c r="U126" i="3"/>
  <c r="V125" i="3"/>
  <c r="U90" i="3"/>
  <c r="U91" i="3"/>
  <c r="V89" i="3"/>
  <c r="G44" i="5"/>
  <c r="G45" i="5"/>
  <c r="W66" i="3"/>
  <c r="W67" i="3"/>
  <c r="X65" i="3"/>
  <c r="X66" i="3"/>
  <c r="X67" i="3"/>
  <c r="H8" i="4"/>
  <c r="H9" i="4"/>
  <c r="E49" i="5"/>
  <c r="G7" i="4"/>
  <c r="G9" i="4"/>
  <c r="I6" i="4"/>
  <c r="I25" i="4"/>
  <c r="I30" i="4"/>
  <c r="I12" i="5"/>
  <c r="F32" i="5"/>
  <c r="G32" i="5"/>
  <c r="G34" i="5"/>
  <c r="G33" i="5"/>
  <c r="G35" i="5"/>
  <c r="H16" i="5"/>
  <c r="F17" i="5"/>
  <c r="V72" i="3"/>
  <c r="V73" i="3"/>
  <c r="W71" i="3"/>
  <c r="V131" i="3"/>
  <c r="U132" i="3"/>
  <c r="U133" i="3"/>
  <c r="X119" i="3"/>
  <c r="X120" i="3"/>
  <c r="X121" i="3"/>
  <c r="W120" i="3"/>
  <c r="W121" i="3"/>
  <c r="T60" i="3"/>
  <c r="T61" i="3"/>
  <c r="U59" i="3"/>
  <c r="V95" i="3"/>
  <c r="U96" i="3"/>
  <c r="U97" i="3"/>
  <c r="V78" i="3"/>
  <c r="V79" i="3"/>
  <c r="W77" i="3"/>
  <c r="U122" i="3"/>
  <c r="T127" i="3"/>
  <c r="T135" i="3"/>
  <c r="W113" i="3"/>
  <c r="V114" i="3"/>
  <c r="V115" i="3"/>
  <c r="J7" i="5"/>
  <c r="J10" i="5"/>
  <c r="J52" i="5"/>
  <c r="J55" i="5"/>
  <c r="U42" i="3"/>
  <c r="U43" i="3"/>
  <c r="V41" i="3"/>
  <c r="F27" i="5"/>
  <c r="G27" i="5"/>
  <c r="G29" i="5"/>
  <c r="G28" i="5"/>
  <c r="G30" i="5"/>
  <c r="G13" i="4"/>
  <c r="G20" i="4"/>
  <c r="F13" i="4"/>
  <c r="F20" i="4"/>
  <c r="F14" i="4"/>
  <c r="G11" i="4"/>
  <c r="G14" i="4"/>
  <c r="U107" i="3"/>
  <c r="T108" i="3"/>
  <c r="T109" i="3"/>
  <c r="V47" i="3"/>
  <c r="U48" i="3"/>
  <c r="U49" i="3"/>
  <c r="J6" i="4"/>
  <c r="J12" i="5"/>
  <c r="J25" i="4"/>
  <c r="J30" i="4"/>
  <c r="J16" i="5"/>
  <c r="T136" i="3"/>
  <c r="L6" i="5"/>
  <c r="L5" i="5"/>
  <c r="X77" i="3"/>
  <c r="X78" i="3"/>
  <c r="X79" i="3"/>
  <c r="W78" i="3"/>
  <c r="W79" i="3"/>
  <c r="V59" i="3"/>
  <c r="U60" i="3"/>
  <c r="U61" i="3"/>
  <c r="I8" i="4"/>
  <c r="I9" i="4"/>
  <c r="W89" i="3"/>
  <c r="V90" i="3"/>
  <c r="V91" i="3"/>
  <c r="V132" i="3"/>
  <c r="V133" i="3"/>
  <c r="W131" i="3"/>
  <c r="I11" i="4"/>
  <c r="I17" i="4"/>
  <c r="I33" i="5"/>
  <c r="I32" i="5"/>
  <c r="I22" i="5"/>
  <c r="I21" i="5"/>
  <c r="I24" i="5"/>
  <c r="I44" i="5"/>
  <c r="I41" i="5"/>
  <c r="I28" i="5"/>
  <c r="I27" i="5"/>
  <c r="V83" i="3"/>
  <c r="U84" i="3"/>
  <c r="U85" i="3"/>
  <c r="V48" i="3"/>
  <c r="V49" i="3"/>
  <c r="W47" i="3"/>
  <c r="V122" i="3"/>
  <c r="U127" i="3"/>
  <c r="U135" i="3"/>
  <c r="X71" i="3"/>
  <c r="X72" i="3"/>
  <c r="X73" i="3"/>
  <c r="W72" i="3"/>
  <c r="W73" i="3"/>
  <c r="H17" i="5"/>
  <c r="I16" i="5"/>
  <c r="F47" i="5"/>
  <c r="V126" i="3"/>
  <c r="W125" i="3"/>
  <c r="H47" i="5"/>
  <c r="H49" i="5"/>
  <c r="H58" i="5"/>
  <c r="H13" i="4"/>
  <c r="H14" i="4"/>
  <c r="K7" i="5"/>
  <c r="K10" i="5"/>
  <c r="K52" i="5"/>
  <c r="K55" i="5"/>
  <c r="V35" i="3"/>
  <c r="U36" i="3"/>
  <c r="U37" i="3"/>
  <c r="W41" i="3"/>
  <c r="V42" i="3"/>
  <c r="V43" i="3"/>
  <c r="U108" i="3"/>
  <c r="U109" i="3"/>
  <c r="V107" i="3"/>
  <c r="W114" i="3"/>
  <c r="W115" i="3"/>
  <c r="X113" i="3"/>
  <c r="X114" i="3"/>
  <c r="X115" i="3"/>
  <c r="F23" i="4"/>
  <c r="V96" i="3"/>
  <c r="V97" i="3"/>
  <c r="W95" i="3"/>
  <c r="E58" i="5"/>
  <c r="E50" i="5"/>
  <c r="G23" i="4"/>
  <c r="H19" i="4"/>
  <c r="H23" i="4"/>
  <c r="H20" i="4"/>
  <c r="H32" i="4"/>
  <c r="D4" i="6"/>
  <c r="D6" i="6"/>
  <c r="H59" i="5"/>
  <c r="K16" i="5"/>
  <c r="K6" i="4"/>
  <c r="K25" i="4"/>
  <c r="K30" i="4"/>
  <c r="K12" i="5"/>
  <c r="W107" i="3"/>
  <c r="V108" i="3"/>
  <c r="V109" i="3"/>
  <c r="W122" i="3"/>
  <c r="V127" i="3"/>
  <c r="V135" i="3"/>
  <c r="W83" i="3"/>
  <c r="V84" i="3"/>
  <c r="V85" i="3"/>
  <c r="W132" i="3"/>
  <c r="W133" i="3"/>
  <c r="X131" i="3"/>
  <c r="X132" i="3"/>
  <c r="X133" i="3"/>
  <c r="J17" i="5"/>
  <c r="W35" i="3"/>
  <c r="V36" i="3"/>
  <c r="V37" i="3"/>
  <c r="W126" i="3"/>
  <c r="X125" i="3"/>
  <c r="X126" i="3"/>
  <c r="I17" i="5"/>
  <c r="X47" i="3"/>
  <c r="X48" i="3"/>
  <c r="X49" i="3"/>
  <c r="W48" i="3"/>
  <c r="W49" i="3"/>
  <c r="E59" i="5"/>
  <c r="E32" i="4"/>
  <c r="U136" i="3"/>
  <c r="M6" i="5"/>
  <c r="M5" i="5"/>
  <c r="I19" i="4"/>
  <c r="I20" i="4"/>
  <c r="L7" i="5"/>
  <c r="L10" i="5"/>
  <c r="L55" i="5"/>
  <c r="L52" i="5"/>
  <c r="J17" i="4"/>
  <c r="J33" i="5"/>
  <c r="J32" i="5"/>
  <c r="J22" i="5"/>
  <c r="J21" i="5"/>
  <c r="J24" i="5"/>
  <c r="J11" i="4"/>
  <c r="J44" i="5"/>
  <c r="J41" i="5"/>
  <c r="J28" i="5"/>
  <c r="J27" i="5"/>
  <c r="X95" i="3"/>
  <c r="X96" i="3"/>
  <c r="X97" i="3"/>
  <c r="W96" i="3"/>
  <c r="W97" i="3"/>
  <c r="W42" i="3"/>
  <c r="W43" i="3"/>
  <c r="X41" i="3"/>
  <c r="X42" i="3"/>
  <c r="X43" i="3"/>
  <c r="F49" i="5"/>
  <c r="G47" i="5"/>
  <c r="I47" i="5"/>
  <c r="I49" i="5"/>
  <c r="I58" i="5"/>
  <c r="I13" i="4"/>
  <c r="I23" i="4"/>
  <c r="I14" i="4"/>
  <c r="W90" i="3"/>
  <c r="W91" i="3"/>
  <c r="X89" i="3"/>
  <c r="X90" i="3"/>
  <c r="X91" i="3"/>
  <c r="W59" i="3"/>
  <c r="V60" i="3"/>
  <c r="V61" i="3"/>
  <c r="J9" i="4"/>
  <c r="J8" i="4"/>
  <c r="L6" i="4"/>
  <c r="L25" i="4"/>
  <c r="L30" i="4"/>
  <c r="L12" i="5"/>
  <c r="L16" i="5"/>
  <c r="I32" i="4"/>
  <c r="E4" i="6"/>
  <c r="E6" i="6"/>
  <c r="I59" i="5"/>
  <c r="W60" i="3"/>
  <c r="W61" i="3"/>
  <c r="X59" i="3"/>
  <c r="X60" i="3"/>
  <c r="X61" i="3"/>
  <c r="W84" i="3"/>
  <c r="W85" i="3"/>
  <c r="X83" i="3"/>
  <c r="X84" i="3"/>
  <c r="X85" i="3"/>
  <c r="K8" i="4"/>
  <c r="K9" i="4"/>
  <c r="M10" i="5"/>
  <c r="M55" i="5"/>
  <c r="M7" i="5"/>
  <c r="M52" i="5"/>
  <c r="V136" i="3"/>
  <c r="N6" i="5"/>
  <c r="N5" i="5"/>
  <c r="X107" i="3"/>
  <c r="X108" i="3"/>
  <c r="X109" i="3"/>
  <c r="W108" i="3"/>
  <c r="W109" i="3"/>
  <c r="K17" i="5"/>
  <c r="F58" i="5"/>
  <c r="F50" i="5"/>
  <c r="G49" i="5"/>
  <c r="G50" i="5"/>
  <c r="J47" i="5"/>
  <c r="J49" i="5"/>
  <c r="J58" i="5"/>
  <c r="J19" i="4"/>
  <c r="W36" i="3"/>
  <c r="W37" i="3"/>
  <c r="X35" i="3"/>
  <c r="X36" i="3"/>
  <c r="X37" i="3"/>
  <c r="K33" i="5"/>
  <c r="K32" i="5"/>
  <c r="K22" i="5"/>
  <c r="K21" i="5"/>
  <c r="K24" i="5"/>
  <c r="K11" i="4"/>
  <c r="K44" i="5"/>
  <c r="K47" i="5"/>
  <c r="K49" i="5"/>
  <c r="K58" i="5"/>
  <c r="K28" i="5"/>
  <c r="K27" i="5"/>
  <c r="K17" i="4"/>
  <c r="K41" i="5"/>
  <c r="J13" i="4"/>
  <c r="J23" i="4"/>
  <c r="J14" i="4"/>
  <c r="X122" i="3"/>
  <c r="W127" i="3"/>
  <c r="W135" i="3"/>
  <c r="K59" i="5"/>
  <c r="L17" i="5"/>
  <c r="F59" i="5"/>
  <c r="F32" i="4"/>
  <c r="G58" i="5"/>
  <c r="J59" i="5"/>
  <c r="J32" i="4"/>
  <c r="F4" i="6"/>
  <c r="F6" i="6"/>
  <c r="N7" i="5"/>
  <c r="N10" i="5"/>
  <c r="N52" i="5"/>
  <c r="N55" i="5"/>
  <c r="L41" i="5"/>
  <c r="L28" i="5"/>
  <c r="L27" i="5"/>
  <c r="L44" i="5"/>
  <c r="L33" i="5"/>
  <c r="L32" i="5"/>
  <c r="L17" i="4"/>
  <c r="L11" i="4"/>
  <c r="L22" i="5"/>
  <c r="L21" i="5"/>
  <c r="L24" i="5"/>
  <c r="M12" i="5"/>
  <c r="M25" i="4"/>
  <c r="M30" i="4"/>
  <c r="M6" i="4"/>
  <c r="W136" i="3"/>
  <c r="O6" i="5"/>
  <c r="O5" i="5"/>
  <c r="K14" i="4"/>
  <c r="K13" i="4"/>
  <c r="K23" i="4"/>
  <c r="K32" i="4"/>
  <c r="G4" i="6"/>
  <c r="G6" i="6"/>
  <c r="X127" i="3"/>
  <c r="X135" i="3"/>
  <c r="K20" i="4"/>
  <c r="K19" i="4"/>
  <c r="J20" i="4"/>
  <c r="L9" i="4"/>
  <c r="L8" i="4"/>
  <c r="N6" i="4"/>
  <c r="N12" i="5"/>
  <c r="N25" i="4"/>
  <c r="N30" i="4"/>
  <c r="L13" i="4"/>
  <c r="L14" i="4"/>
  <c r="X136" i="3"/>
  <c r="P6" i="5"/>
  <c r="P5" i="5"/>
  <c r="M17" i="4"/>
  <c r="M44" i="5"/>
  <c r="M33" i="5"/>
  <c r="M32" i="5"/>
  <c r="M22" i="5"/>
  <c r="M21" i="5"/>
  <c r="M24" i="5"/>
  <c r="M28" i="5"/>
  <c r="M27" i="5"/>
  <c r="M11" i="4"/>
  <c r="M41" i="5"/>
  <c r="L19" i="4"/>
  <c r="L20" i="4"/>
  <c r="G32" i="4"/>
  <c r="C4" i="6"/>
  <c r="C6" i="6"/>
  <c r="G59" i="5"/>
  <c r="L23" i="4"/>
  <c r="O7" i="5"/>
  <c r="O10" i="5"/>
  <c r="O52" i="5"/>
  <c r="O55" i="5"/>
  <c r="M16" i="5"/>
  <c r="M8" i="4"/>
  <c r="M9" i="4"/>
  <c r="L47" i="5"/>
  <c r="L49" i="5"/>
  <c r="L58" i="5"/>
  <c r="L32" i="4"/>
  <c r="H4" i="6"/>
  <c r="H6" i="6"/>
  <c r="L59" i="5"/>
  <c r="P7" i="5"/>
  <c r="P10" i="5"/>
  <c r="P52" i="5"/>
  <c r="P55" i="5"/>
  <c r="N33" i="5"/>
  <c r="N32" i="5"/>
  <c r="N22" i="5"/>
  <c r="N21" i="5"/>
  <c r="N24" i="5"/>
  <c r="N11" i="4"/>
  <c r="N17" i="4"/>
  <c r="N44" i="5"/>
  <c r="N28" i="5"/>
  <c r="N27" i="5"/>
  <c r="N41" i="5"/>
  <c r="O6" i="4"/>
  <c r="O12" i="5"/>
  <c r="O25" i="4"/>
  <c r="O30" i="4"/>
  <c r="M13" i="4"/>
  <c r="M23" i="4"/>
  <c r="M14" i="4"/>
  <c r="N8" i="4"/>
  <c r="N9" i="4"/>
  <c r="M47" i="5"/>
  <c r="M49" i="5"/>
  <c r="M58" i="5"/>
  <c r="M17" i="5"/>
  <c r="M19" i="4"/>
  <c r="M20" i="4"/>
  <c r="N16" i="5"/>
  <c r="M59" i="5"/>
  <c r="M32" i="4"/>
  <c r="I4" i="6"/>
  <c r="I6" i="6"/>
  <c r="P12" i="5"/>
  <c r="P25" i="4"/>
  <c r="P30" i="4"/>
  <c r="P6" i="4"/>
  <c r="P16" i="5"/>
  <c r="O11" i="4"/>
  <c r="O41" i="5"/>
  <c r="O28" i="5"/>
  <c r="O27" i="5"/>
  <c r="O17" i="4"/>
  <c r="O44" i="5"/>
  <c r="O47" i="5"/>
  <c r="O22" i="5"/>
  <c r="O21" i="5"/>
  <c r="O24" i="5"/>
  <c r="O33" i="5"/>
  <c r="O32" i="5"/>
  <c r="O8" i="4"/>
  <c r="O9" i="4"/>
  <c r="N47" i="5"/>
  <c r="O16" i="5"/>
  <c r="N19" i="4"/>
  <c r="N49" i="5"/>
  <c r="N58" i="5"/>
  <c r="N17" i="5"/>
  <c r="N23" i="4"/>
  <c r="N13" i="4"/>
  <c r="N20" i="4"/>
  <c r="N14" i="4"/>
  <c r="N59" i="5"/>
  <c r="N32" i="4"/>
  <c r="J4" i="6"/>
  <c r="J6" i="6"/>
  <c r="O14" i="4"/>
  <c r="O13" i="4"/>
  <c r="O23" i="4"/>
  <c r="P41" i="5"/>
  <c r="P28" i="5"/>
  <c r="P27" i="5"/>
  <c r="P17" i="4"/>
  <c r="P44" i="5"/>
  <c r="P33" i="5"/>
  <c r="P32" i="5"/>
  <c r="P11" i="4"/>
  <c r="P22" i="5"/>
  <c r="P21" i="5"/>
  <c r="P24" i="5"/>
  <c r="O19" i="4"/>
  <c r="O20" i="4"/>
  <c r="P17" i="5"/>
  <c r="O49" i="5"/>
  <c r="O58" i="5"/>
  <c r="O17" i="5"/>
  <c r="P8" i="4"/>
  <c r="P9" i="4"/>
  <c r="P47" i="5"/>
  <c r="P49" i="5"/>
  <c r="P58" i="5"/>
  <c r="P19" i="4"/>
  <c r="O32" i="4"/>
  <c r="K4" i="6"/>
  <c r="K6" i="6"/>
  <c r="O59" i="5"/>
  <c r="P14" i="4"/>
  <c r="P13" i="4"/>
  <c r="P23" i="4"/>
  <c r="P20" i="4"/>
  <c r="P32" i="4"/>
  <c r="L4" i="6"/>
  <c r="L6" i="6"/>
  <c r="C7" i="6"/>
  <c r="P59" i="5"/>
</calcChain>
</file>

<file path=xl/comments1.xml><?xml version="1.0" encoding="utf-8"?>
<comments xmlns="http://schemas.openxmlformats.org/spreadsheetml/2006/main">
  <authors>
    <author>User</author>
  </authors>
  <commentList>
    <comment ref="C32" authorId="0" shapeId="0">
      <text>
        <r>
          <rPr>
            <b/>
            <sz val="8"/>
            <color indexed="81"/>
            <rFont val="Tahoma"/>
            <charset val="204"/>
          </rPr>
          <t>User:</t>
        </r>
        <r>
          <rPr>
            <sz val="8"/>
            <color indexed="81"/>
            <rFont val="Tahoma"/>
            <charset val="204"/>
          </rPr>
          <t xml:space="preserve">
Includes Business Travel and Salary Taxes
</t>
        </r>
      </text>
    </comment>
  </commentList>
</comments>
</file>

<file path=xl/sharedStrings.xml><?xml version="1.0" encoding="utf-8"?>
<sst xmlns="http://schemas.openxmlformats.org/spreadsheetml/2006/main" count="251" uniqueCount="140">
  <si>
    <t>Итого Продажи</t>
  </si>
  <si>
    <t>ВАЛОВАЯ ПРИБЫЛЬ</t>
  </si>
  <si>
    <t>EBITDA</t>
  </si>
  <si>
    <t>Операционные налоги</t>
  </si>
  <si>
    <t>Изменение складских запасов</t>
  </si>
  <si>
    <t>СВОБОДНЫЙ ДЕНЕЖНЫЙ ПОТОК</t>
  </si>
  <si>
    <t>Прогноз основан на бизнес плане компании</t>
  </si>
  <si>
    <t>% к продажам</t>
  </si>
  <si>
    <t>Итого Инвестиции в оборотный капитал</t>
  </si>
  <si>
    <t>РАСЧЕТ ИНВЕСТИЦИЙ В ОБОРОТНЫЙ КАПИТАЛ</t>
  </si>
  <si>
    <t>ПРИБЫЛЬ ОТ ОПЕРАЦИОННОЙ ДЕЯТЕЛЬНОСТИ (NOPAT)</t>
  </si>
  <si>
    <t>Курсовая разница</t>
  </si>
  <si>
    <t>Инвестиции в основные средства</t>
  </si>
  <si>
    <t>Итого Капитальные инвестиции</t>
  </si>
  <si>
    <t>Строительство склада/открытие филиалов</t>
  </si>
  <si>
    <t>Продажи Филиалов и Головной Организации</t>
  </si>
  <si>
    <t>Население</t>
  </si>
  <si>
    <t>Объем рынка</t>
  </si>
  <si>
    <t>Доля рынка</t>
  </si>
  <si>
    <t>Потребление на человека</t>
  </si>
  <si>
    <t>Новосибирск</t>
  </si>
  <si>
    <t>ПРОГНОЗ</t>
  </si>
  <si>
    <t>Красноярск</t>
  </si>
  <si>
    <t>Омск</t>
  </si>
  <si>
    <t>Хабаровск</t>
  </si>
  <si>
    <t>Рост продаж год-на-год</t>
  </si>
  <si>
    <t>1 квартал 2001</t>
  </si>
  <si>
    <t>2 квартал 2001</t>
  </si>
  <si>
    <t>3 квартал 2001</t>
  </si>
  <si>
    <t>4 квартал 2001</t>
  </si>
  <si>
    <t>Скидки покупателям</t>
  </si>
  <si>
    <t>Итого продажи за вычетом скидок покупателям</t>
  </si>
  <si>
    <t>Себестоимость % к продажам за вычетом скидок</t>
  </si>
  <si>
    <t>Валовая маржа (валовая прибыль к продажам за вычетом скидок  %)</t>
  </si>
  <si>
    <t>Операционные Расходы</t>
  </si>
  <si>
    <t>Общая площадь складов и офиса кв.м.</t>
  </si>
  <si>
    <t>Аренда складов и офиса</t>
  </si>
  <si>
    <t>Транспортные расходы</t>
  </si>
  <si>
    <t>Общее количество машин</t>
  </si>
  <si>
    <t>Кол-во сотрудников</t>
  </si>
  <si>
    <t>Средние затраты на человека</t>
  </si>
  <si>
    <t xml:space="preserve">Заработная плата и расходы связанные с набором и обучением персонала </t>
  </si>
  <si>
    <t xml:space="preserve">% к себестоимости </t>
  </si>
  <si>
    <t>ИТОГО Операционные Расходы</t>
  </si>
  <si>
    <t>Себестоимость продаж на человека</t>
  </si>
  <si>
    <t xml:space="preserve">Прочие затраты (без амортизации) </t>
  </si>
  <si>
    <t xml:space="preserve"> транспортные расходы / число машин</t>
  </si>
  <si>
    <t>Рязань</t>
  </si>
  <si>
    <t>Владимир</t>
  </si>
  <si>
    <t>Екатеринбург</t>
  </si>
  <si>
    <t>Волгоград</t>
  </si>
  <si>
    <t>Петербург</t>
  </si>
  <si>
    <t>Чебоксары</t>
  </si>
  <si>
    <t>Копейск / Челябинск</t>
  </si>
  <si>
    <t>Казань</t>
  </si>
  <si>
    <t>Ижевск</t>
  </si>
  <si>
    <t>Пермь</t>
  </si>
  <si>
    <t>Ростов</t>
  </si>
  <si>
    <t>Саратов</t>
  </si>
  <si>
    <t>Нижний Новгород</t>
  </si>
  <si>
    <t>Краснодар</t>
  </si>
  <si>
    <t>Самара</t>
  </si>
  <si>
    <t>Воронеж</t>
  </si>
  <si>
    <t>Зататы на охрану (вычесть людей из персонала)</t>
  </si>
  <si>
    <t>Затраты на филиал</t>
  </si>
  <si>
    <t>Потребление на человека в год</t>
  </si>
  <si>
    <t>Москва и область</t>
  </si>
  <si>
    <t>Анализы, сертификация и лицензирование, страхование</t>
  </si>
  <si>
    <t>% к продажам за вычетом скидок</t>
  </si>
  <si>
    <t xml:space="preserve">Затраты на аренду / общую площадь складов и офиса USD/период </t>
  </si>
  <si>
    <t>Затраты на аренду / себестимость продаж</t>
  </si>
  <si>
    <t>Себестоимость продаж</t>
  </si>
  <si>
    <t>Себестоимость продаж / число машин</t>
  </si>
  <si>
    <t>Складские запасы средние за период</t>
  </si>
  <si>
    <t>Складские запасы % к себестоимости продаж за период</t>
  </si>
  <si>
    <t>% от продаж за вычетом скидок</t>
  </si>
  <si>
    <t>% к продажам с учетом скидок</t>
  </si>
  <si>
    <t>Число филиалов</t>
  </si>
  <si>
    <t>Себестоимость продаж /общая площадь складов и офиса</t>
  </si>
  <si>
    <t>Складские запасы дней</t>
  </si>
  <si>
    <t>Кредиторская задолженность средняя за период</t>
  </si>
  <si>
    <t>Кредиторская задолженность поставщикам % себестоимости за период</t>
  </si>
  <si>
    <t>Изменение кредиторской задолженности  поставщикам</t>
  </si>
  <si>
    <t>Кредиторская задолженность дней</t>
  </si>
  <si>
    <t xml:space="preserve">Ставка дисконтирования </t>
  </si>
  <si>
    <t>Дисконтированный поток</t>
  </si>
  <si>
    <t>Расчет стоимости капитала</t>
  </si>
  <si>
    <t>Бета для сектора фармацевтической дистрибьюции</t>
  </si>
  <si>
    <t xml:space="preserve">Безрисковая ставка </t>
  </si>
  <si>
    <t>Премия за кредитный риск (ССС)</t>
  </si>
  <si>
    <t>Премия за риск вложения в развивающиеся рынки</t>
  </si>
  <si>
    <t>Итого стоимость кредитных ресурсов</t>
  </si>
  <si>
    <t>Стоимость кредитных ресурсов</t>
  </si>
  <si>
    <t>Стоимость акционерного капитала</t>
  </si>
  <si>
    <t>Премия за вложения в акции</t>
  </si>
  <si>
    <t>Премия за вложения в акции на развивающихся рынках</t>
  </si>
  <si>
    <t>Премия за вложения в небольшую компанию</t>
  </si>
  <si>
    <t>Итого стоимость акционерного капитала</t>
  </si>
  <si>
    <t>Доля кредитов в структуре компании</t>
  </si>
  <si>
    <t>Акционерный капитал</t>
  </si>
  <si>
    <t>Сумма дисконтированного денежного потока</t>
  </si>
  <si>
    <t>ЗАО "..."</t>
  </si>
  <si>
    <t xml:space="preserve"> </t>
  </si>
  <si>
    <t xml:space="preserve">Продажи </t>
  </si>
  <si>
    <t>Содержание</t>
  </si>
  <si>
    <t>Продажи</t>
  </si>
  <si>
    <t>Операционный затраты</t>
  </si>
  <si>
    <t>Инвестиции в оборотный капитал</t>
  </si>
  <si>
    <t>- дебиторская задолженность</t>
  </si>
  <si>
    <t>- кредиторская задолженность</t>
  </si>
  <si>
    <t>- запасы</t>
  </si>
  <si>
    <t>Инвестиции в долгосрочные активы</t>
  </si>
  <si>
    <t>Стоимость заемного капитала</t>
  </si>
  <si>
    <t>Стоимость собственного капитала</t>
  </si>
  <si>
    <t>Средневзвешенная стоимость капитала (WACC)</t>
  </si>
  <si>
    <t>Дисконтированная сумма денежных потоков</t>
  </si>
  <si>
    <t>Дебиторская задолженность средняя за период</t>
  </si>
  <si>
    <t>Дебиторская задолженность % к продажам за вычетом скидок за период</t>
  </si>
  <si>
    <t>Изменение дебиторской задолженности за период</t>
  </si>
  <si>
    <t>Дебиторская задолженность дней</t>
  </si>
  <si>
    <t>1. Страновой рейтинг России недавно улучшился, что снижает риски инвестора на 5 п.п.</t>
  </si>
  <si>
    <t>2. Риски вложения в небольшую компанию снижаются при наличии отчетности по МСФО и системы бюджетирования</t>
  </si>
  <si>
    <t>Стоимость внедрения МСФО -0,3 млн долларов</t>
  </si>
  <si>
    <t>Стоимость внедрения бюджетирования 0,2 млн долларов</t>
  </si>
  <si>
    <t xml:space="preserve">3. При переводе поставщиков на более ранние сроки оплаты они предоставляют скидки </t>
  </si>
  <si>
    <t>КЗ снижается на 30 дней - скидка 7%</t>
  </si>
  <si>
    <t>КЗ снижается на 40 дней - скидка 10%</t>
  </si>
  <si>
    <t>КЗ снижается на 50 дней - скидка 12%</t>
  </si>
  <si>
    <t>КЗ снижается на 60 дней - скидка 14%</t>
  </si>
  <si>
    <t>4. Предоставление дополнительной отсрочки покупателям увеличивает темпы роста продаж</t>
  </si>
  <si>
    <t>ДЗ увеличивается на 15 дней - прирост продаж 5%</t>
  </si>
  <si>
    <t>ДЗ увеличивается на 25 дней - прирост продаж 10%</t>
  </si>
  <si>
    <t>ДЗ увеличивается на 30 дней - прирост продаж 12%</t>
  </si>
  <si>
    <t>ДЗ увеличивается на 40 дней - прирост продаж 15%</t>
  </si>
  <si>
    <t xml:space="preserve"> риски увеличиваются на 2 п.п</t>
  </si>
  <si>
    <t xml:space="preserve"> риски увеличиваются на 3 п.п</t>
  </si>
  <si>
    <t xml:space="preserve"> риски увеличиваются на 5 п.п</t>
  </si>
  <si>
    <t>5. Стоимость годовой аренды составляет 12% стоимости арендуемых помещений</t>
  </si>
  <si>
    <t>далее - терминальный денежный поток</t>
  </si>
  <si>
    <t>Структура капитала компании на момент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</si>
</sst>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_-* #,##0_р_-;\-* #,##0_р_-;_-* &quot;-&quot;_р_-;_-@_-"/>
    <numFmt numFmtId="179" formatCode="_-* #,##0.00_р_-;\-* #,##0.00_р_-;_-* &quot;-&quot;??_р_-;_-@_-"/>
    <numFmt numFmtId="180" formatCode="_-* #,##0.0_р_-;\-* #,##0.0_р_-;_-* &quot;-&quot;??_р_-;_-@_-"/>
    <numFmt numFmtId="181" formatCode="_-* #,##0_р_-;\-* #,##0_р_-;_-* &quot;-&quot;??_р_-;_-@_-"/>
    <numFmt numFmtId="184" formatCode="0.0%"/>
    <numFmt numFmtId="185" formatCode="0.0"/>
    <numFmt numFmtId="195" formatCode="mmmm\ yy"/>
  </numFmts>
  <fonts count="18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2"/>
      <name val="Arial Cyr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u val="singleAccounting"/>
      <sz val="12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u/>
      <sz val="12"/>
      <color indexed="12"/>
      <name val="Arial Cyr"/>
      <charset val="204"/>
    </font>
    <font>
      <b/>
      <u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2" borderId="0" xfId="0" applyFont="1" applyFill="1"/>
    <xf numFmtId="0" fontId="6" fillId="0" borderId="0" xfId="0" applyFont="1"/>
    <xf numFmtId="0" fontId="7" fillId="2" borderId="0" xfId="0" applyFont="1" applyFill="1"/>
    <xf numFmtId="181" fontId="3" fillId="0" borderId="0" xfId="3" applyNumberFormat="1" applyFont="1"/>
    <xf numFmtId="0" fontId="8" fillId="0" borderId="0" xfId="0" applyFont="1" applyAlignment="1">
      <alignment horizontal="center"/>
    </xf>
    <xf numFmtId="181" fontId="4" fillId="0" borderId="0" xfId="0" applyNumberFormat="1" applyFont="1"/>
    <xf numFmtId="9" fontId="2" fillId="0" borderId="0" xfId="2" applyFont="1"/>
    <xf numFmtId="181" fontId="2" fillId="0" borderId="0" xfId="3" applyNumberFormat="1" applyFont="1"/>
    <xf numFmtId="0" fontId="2" fillId="2" borderId="0" xfId="0" applyFont="1" applyFill="1"/>
    <xf numFmtId="9" fontId="2" fillId="2" borderId="0" xfId="2" applyFont="1" applyFill="1"/>
    <xf numFmtId="181" fontId="0" fillId="0" borderId="0" xfId="0" applyNumberFormat="1"/>
    <xf numFmtId="184" fontId="2" fillId="2" borderId="0" xfId="2" applyNumberFormat="1" applyFont="1" applyFill="1"/>
    <xf numFmtId="0" fontId="8" fillId="0" borderId="0" xfId="0" applyFont="1" applyFill="1" applyAlignment="1">
      <alignment horizontal="right"/>
    </xf>
    <xf numFmtId="181" fontId="8" fillId="0" borderId="0" xfId="0" applyNumberFormat="1" applyFont="1" applyFill="1"/>
    <xf numFmtId="181" fontId="3" fillId="0" borderId="0" xfId="0" applyNumberFormat="1" applyFont="1"/>
    <xf numFmtId="9" fontId="2" fillId="2" borderId="0" xfId="2" applyNumberFormat="1" applyFont="1" applyFill="1"/>
    <xf numFmtId="0" fontId="2" fillId="2" borderId="0" xfId="0" applyFont="1" applyFill="1" applyAlignment="1">
      <alignment wrapText="1"/>
    </xf>
    <xf numFmtId="181" fontId="2" fillId="0" borderId="0" xfId="0" applyNumberFormat="1" applyFont="1"/>
    <xf numFmtId="177" fontId="4" fillId="2" borderId="0" xfId="0" applyNumberFormat="1" applyFont="1" applyFill="1"/>
    <xf numFmtId="177" fontId="0" fillId="0" borderId="0" xfId="0" applyNumberFormat="1"/>
    <xf numFmtId="195" fontId="8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3" applyNumberFormat="1" applyFont="1" applyAlignment="1">
      <alignment horizontal="center"/>
    </xf>
    <xf numFmtId="0" fontId="2" fillId="0" borderId="0" xfId="0" applyFont="1" applyAlignment="1">
      <alignment horizontal="right"/>
    </xf>
    <xf numFmtId="9" fontId="6" fillId="0" borderId="0" xfId="2" applyFont="1"/>
    <xf numFmtId="9" fontId="2" fillId="0" borderId="0" xfId="2" applyFont="1" applyAlignment="1">
      <alignment horizontal="right"/>
    </xf>
    <xf numFmtId="9" fontId="6" fillId="2" borderId="0" xfId="2" applyFont="1" applyFill="1"/>
    <xf numFmtId="9" fontId="6" fillId="0" borderId="0" xfId="0" applyNumberFormat="1" applyFont="1"/>
    <xf numFmtId="9" fontId="2" fillId="0" borderId="0" xfId="0" applyNumberFormat="1" applyFont="1" applyAlignment="1">
      <alignment horizontal="right"/>
    </xf>
    <xf numFmtId="9" fontId="6" fillId="2" borderId="0" xfId="0" applyNumberFormat="1" applyFont="1" applyFill="1"/>
    <xf numFmtId="0" fontId="8" fillId="0" borderId="0" xfId="0" applyFont="1" applyAlignment="1">
      <alignment horizontal="center" wrapText="1"/>
    </xf>
    <xf numFmtId="0" fontId="10" fillId="0" borderId="0" xfId="0" quotePrefix="1" applyFont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184" fontId="2" fillId="0" borderId="0" xfId="2" applyNumberFormat="1" applyFont="1"/>
    <xf numFmtId="185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181" fontId="4" fillId="0" borderId="0" xfId="3" applyNumberFormat="1" applyFont="1"/>
    <xf numFmtId="181" fontId="13" fillId="0" borderId="0" xfId="3" applyNumberFormat="1" applyFont="1"/>
    <xf numFmtId="181" fontId="13" fillId="0" borderId="0" xfId="0" applyNumberFormat="1" applyFont="1" applyFill="1"/>
    <xf numFmtId="180" fontId="2" fillId="0" borderId="0" xfId="3" applyNumberFormat="1" applyFont="1"/>
    <xf numFmtId="180" fontId="2" fillId="2" borderId="0" xfId="3" applyNumberFormat="1" applyFont="1" applyFill="1"/>
    <xf numFmtId="179" fontId="0" fillId="0" borderId="0" xfId="0" applyNumberFormat="1"/>
    <xf numFmtId="181" fontId="2" fillId="2" borderId="0" xfId="3" applyNumberFormat="1" applyFont="1" applyFill="1"/>
    <xf numFmtId="181" fontId="4" fillId="0" borderId="0" xfId="0" applyNumberFormat="1" applyFont="1" applyFill="1"/>
    <xf numFmtId="9" fontId="2" fillId="0" borderId="0" xfId="2" applyFont="1" applyFill="1"/>
    <xf numFmtId="177" fontId="4" fillId="0" borderId="0" xfId="0" applyNumberFormat="1" applyFont="1" applyFill="1"/>
    <xf numFmtId="9" fontId="0" fillId="0" borderId="0" xfId="2" applyFont="1"/>
    <xf numFmtId="0" fontId="4" fillId="0" borderId="0" xfId="0" applyFont="1" applyFill="1"/>
    <xf numFmtId="184" fontId="4" fillId="0" borderId="0" xfId="2" applyNumberFormat="1" applyFont="1" applyFill="1"/>
    <xf numFmtId="9" fontId="3" fillId="0" borderId="0" xfId="2" applyFont="1"/>
    <xf numFmtId="184" fontId="4" fillId="0" borderId="0" xfId="0" applyNumberFormat="1" applyFont="1"/>
    <xf numFmtId="9" fontId="3" fillId="0" borderId="0" xfId="0" applyNumberFormat="1" applyFont="1"/>
    <xf numFmtId="9" fontId="4" fillId="0" borderId="0" xfId="2" applyFont="1"/>
    <xf numFmtId="181" fontId="4" fillId="3" borderId="0" xfId="0" applyNumberFormat="1" applyFont="1" applyFill="1"/>
    <xf numFmtId="0" fontId="15" fillId="0" borderId="0" xfId="0" applyFont="1"/>
    <xf numFmtId="0" fontId="16" fillId="0" borderId="0" xfId="1" applyFont="1" applyAlignment="1" applyProtection="1"/>
    <xf numFmtId="0" fontId="17" fillId="0" borderId="0" xfId="0" applyFont="1"/>
    <xf numFmtId="0" fontId="16" fillId="0" borderId="0" xfId="1" quotePrefix="1" applyFont="1" applyAlignment="1" applyProtection="1">
      <alignment horizontal="right"/>
    </xf>
    <xf numFmtId="0" fontId="2" fillId="0" borderId="0" xfId="0" applyFont="1" applyAlignment="1">
      <alignment horizontal="center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zoomScale="120" workbookViewId="0">
      <selection activeCell="B13" sqref="B13"/>
    </sheetView>
  </sheetViews>
  <sheetFormatPr defaultRowHeight="12.75" x14ac:dyDescent="0.2"/>
  <cols>
    <col min="2" max="2" width="54.28515625" customWidth="1"/>
  </cols>
  <sheetData>
    <row r="2" spans="1:6" ht="18" x14ac:dyDescent="0.25">
      <c r="B2" s="66" t="s">
        <v>104</v>
      </c>
    </row>
    <row r="3" spans="1:6" ht="15" x14ac:dyDescent="0.2">
      <c r="B3" s="64"/>
    </row>
    <row r="4" spans="1:6" ht="15" x14ac:dyDescent="0.2">
      <c r="A4" s="64"/>
      <c r="B4" s="65" t="s">
        <v>105</v>
      </c>
      <c r="C4" s="64"/>
      <c r="D4" s="64"/>
      <c r="E4" s="64"/>
      <c r="F4" s="64"/>
    </row>
    <row r="5" spans="1:6" ht="15" x14ac:dyDescent="0.2">
      <c r="A5" s="64"/>
      <c r="B5" s="65" t="s">
        <v>106</v>
      </c>
      <c r="C5" s="64"/>
      <c r="D5" s="64"/>
      <c r="E5" s="64"/>
      <c r="F5" s="64"/>
    </row>
    <row r="6" spans="1:6" ht="15" x14ac:dyDescent="0.2">
      <c r="A6" s="64"/>
      <c r="B6" s="65" t="s">
        <v>107</v>
      </c>
      <c r="C6" s="64"/>
      <c r="D6" s="64"/>
      <c r="E6" s="64"/>
      <c r="F6" s="64"/>
    </row>
    <row r="7" spans="1:6" ht="15" x14ac:dyDescent="0.2">
      <c r="A7" s="64"/>
      <c r="B7" s="67" t="s">
        <v>108</v>
      </c>
      <c r="D7" s="64"/>
      <c r="E7" s="64"/>
      <c r="F7" s="64"/>
    </row>
    <row r="8" spans="1:6" ht="15" x14ac:dyDescent="0.2">
      <c r="A8" s="64"/>
      <c r="B8" s="67" t="s">
        <v>110</v>
      </c>
      <c r="D8" s="64"/>
      <c r="E8" s="64"/>
      <c r="F8" s="64"/>
    </row>
    <row r="9" spans="1:6" ht="15" x14ac:dyDescent="0.2">
      <c r="A9" s="64"/>
      <c r="B9" s="67" t="s">
        <v>109</v>
      </c>
      <c r="D9" s="64"/>
      <c r="E9" s="64"/>
      <c r="F9" s="64"/>
    </row>
    <row r="10" spans="1:6" ht="15" x14ac:dyDescent="0.2">
      <c r="A10" s="64"/>
      <c r="B10" s="65" t="s">
        <v>111</v>
      </c>
      <c r="C10" s="64"/>
      <c r="D10" s="64"/>
      <c r="E10" s="64"/>
      <c r="F10" s="64"/>
    </row>
    <row r="11" spans="1:6" ht="15" x14ac:dyDescent="0.2">
      <c r="A11" s="64"/>
      <c r="B11" s="65" t="s">
        <v>112</v>
      </c>
      <c r="C11" s="64"/>
      <c r="D11" s="64"/>
      <c r="E11" s="64"/>
      <c r="F11" s="64"/>
    </row>
    <row r="12" spans="1:6" ht="15" x14ac:dyDescent="0.2">
      <c r="A12" s="64"/>
      <c r="B12" s="65" t="s">
        <v>113</v>
      </c>
      <c r="C12" s="64"/>
      <c r="D12" s="64"/>
      <c r="E12" s="64"/>
      <c r="F12" s="64"/>
    </row>
    <row r="13" spans="1:6" ht="15" x14ac:dyDescent="0.2">
      <c r="A13" s="64"/>
      <c r="B13" s="65" t="s">
        <v>114</v>
      </c>
      <c r="C13" s="64"/>
      <c r="D13" s="64"/>
      <c r="E13" s="64"/>
      <c r="F13" s="64"/>
    </row>
    <row r="14" spans="1:6" ht="15" x14ac:dyDescent="0.2">
      <c r="B14" s="64"/>
    </row>
    <row r="15" spans="1:6" ht="15" x14ac:dyDescent="0.2">
      <c r="B15" s="65" t="s">
        <v>115</v>
      </c>
    </row>
  </sheetData>
  <phoneticPr fontId="14" type="noConversion"/>
  <hyperlinks>
    <hyperlink ref="B4" location="Продажи!A1" display="Продажи"/>
    <hyperlink ref="B5" location="Операционные_затраты!A1" display="Операционный затраты"/>
    <hyperlink ref="B6" location="'Cash Flow'!A1" display="Инвестиции в оборотный капитал"/>
    <hyperlink ref="B7" location="'Cash Flow'!A6" display="- дебиторская задолженность"/>
    <hyperlink ref="B8" location="'Cash Flow'!B11" display="- запасы"/>
    <hyperlink ref="B9" location="'Cash Flow'!B17" display="- кредиторская задолженность"/>
    <hyperlink ref="B10" location="'Cash Flow'!B25" display="Инвестиции в долгосрочные активы"/>
    <hyperlink ref="B11" location="Оценка!C18" display="Стоимость заемного капитала"/>
    <hyperlink ref="B12" location="Оценка!C26" display="Стоимость собственного капитала"/>
    <hyperlink ref="B13" location="Оценка!C10" display="Средневзвешенная стоимость капитала (WACC)"/>
    <hyperlink ref="B15" location="Оценка!C7" display="Дисконтированная сумма денежных потоков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0"/>
  <sheetViews>
    <sheetView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O6" sqref="O6"/>
    </sheetView>
  </sheetViews>
  <sheetFormatPr defaultRowHeight="12.75" x14ac:dyDescent="0.2"/>
  <cols>
    <col min="1" max="1" width="6" customWidth="1"/>
    <col min="2" max="2" width="44.42578125" customWidth="1"/>
    <col min="3" max="3" width="16.5703125" hidden="1" customWidth="1"/>
    <col min="4" max="4" width="16.85546875" hidden="1" customWidth="1"/>
    <col min="5" max="5" width="14.140625" hidden="1" customWidth="1"/>
    <col min="6" max="6" width="14.42578125" hidden="1" customWidth="1"/>
    <col min="7" max="7" width="14.140625" hidden="1" customWidth="1"/>
    <col min="8" max="8" width="15.42578125" hidden="1" customWidth="1"/>
    <col min="9" max="9" width="14.28515625" hidden="1" customWidth="1"/>
    <col min="10" max="10" width="15.85546875" hidden="1" customWidth="1"/>
    <col min="11" max="11" width="15.42578125" hidden="1" customWidth="1"/>
    <col min="12" max="12" width="18" hidden="1" customWidth="1"/>
    <col min="13" max="14" width="16.28515625" hidden="1" customWidth="1"/>
    <col min="15" max="15" width="16.5703125" customWidth="1"/>
    <col min="16" max="16" width="16.140625" customWidth="1"/>
    <col min="17" max="17" width="15.5703125" customWidth="1"/>
    <col min="18" max="18" width="16.85546875" customWidth="1"/>
    <col min="19" max="19" width="17.7109375" customWidth="1"/>
    <col min="20" max="20" width="17.5703125" customWidth="1"/>
    <col min="21" max="21" width="18" customWidth="1"/>
    <col min="22" max="22" width="16.85546875" customWidth="1"/>
    <col min="23" max="23" width="16.7109375" customWidth="1"/>
    <col min="24" max="24" width="17" customWidth="1"/>
  </cols>
  <sheetData>
    <row r="2" spans="1:24" ht="15.75" x14ac:dyDescent="0.25">
      <c r="A2" s="3" t="s">
        <v>101</v>
      </c>
    </row>
    <row r="3" spans="1:24" ht="6" customHeight="1" x14ac:dyDescent="0.2">
      <c r="A3" s="7"/>
    </row>
    <row r="4" spans="1:24" x14ac:dyDescent="0.2">
      <c r="A4" s="29" t="s">
        <v>15</v>
      </c>
    </row>
    <row r="5" spans="1:24" x14ac:dyDescent="0.2">
      <c r="J5" s="68" t="s">
        <v>21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s="2" customFormat="1" ht="15.75" x14ac:dyDescent="0.25">
      <c r="A6" s="1"/>
      <c r="C6" s="28">
        <v>36892</v>
      </c>
      <c r="D6" s="28">
        <v>36923</v>
      </c>
      <c r="E6" s="28">
        <v>36951</v>
      </c>
      <c r="F6" s="28">
        <v>36982</v>
      </c>
      <c r="G6" s="28">
        <v>37012</v>
      </c>
      <c r="H6" s="28">
        <v>37043</v>
      </c>
      <c r="I6" s="28">
        <v>37073</v>
      </c>
      <c r="J6" s="28">
        <v>37104</v>
      </c>
      <c r="K6" s="28">
        <v>37135</v>
      </c>
      <c r="L6" s="28">
        <v>37165</v>
      </c>
      <c r="M6" s="28">
        <v>37196</v>
      </c>
      <c r="N6" s="28">
        <v>37226</v>
      </c>
      <c r="O6" s="30">
        <v>2003</v>
      </c>
      <c r="P6" s="30">
        <f>O6+1</f>
        <v>2004</v>
      </c>
      <c r="Q6" s="30">
        <f t="shared" ref="Q6:X6" si="0">P6+1</f>
        <v>2005</v>
      </c>
      <c r="R6" s="30">
        <f t="shared" si="0"/>
        <v>2006</v>
      </c>
      <c r="S6" s="30">
        <f t="shared" si="0"/>
        <v>2007</v>
      </c>
      <c r="T6" s="30">
        <f t="shared" si="0"/>
        <v>2008</v>
      </c>
      <c r="U6" s="30">
        <f t="shared" si="0"/>
        <v>2009</v>
      </c>
      <c r="V6" s="30">
        <f t="shared" si="0"/>
        <v>2010</v>
      </c>
      <c r="W6" s="30">
        <f t="shared" si="0"/>
        <v>2011</v>
      </c>
      <c r="X6" s="30">
        <f t="shared" si="0"/>
        <v>2012</v>
      </c>
    </row>
    <row r="8" spans="1:24" s="2" customFormat="1" ht="15" x14ac:dyDescent="0.2">
      <c r="A8" s="2">
        <v>1</v>
      </c>
      <c r="B8" s="2" t="s">
        <v>47</v>
      </c>
      <c r="C8" s="11">
        <v>561588</v>
      </c>
      <c r="D8" s="11">
        <v>581769</v>
      </c>
      <c r="E8" s="11">
        <v>615746</v>
      </c>
      <c r="F8" s="11">
        <v>376184.57538994798</v>
      </c>
      <c r="G8" s="11">
        <v>375024.49965493445</v>
      </c>
      <c r="H8" s="11">
        <v>446424.31506849319</v>
      </c>
      <c r="I8" s="11">
        <v>475000</v>
      </c>
      <c r="J8" s="11">
        <v>500000</v>
      </c>
      <c r="K8" s="11">
        <v>550000</v>
      </c>
      <c r="L8" s="11">
        <v>550000</v>
      </c>
      <c r="M8" s="11">
        <v>550000</v>
      </c>
      <c r="N8" s="11">
        <v>550000</v>
      </c>
      <c r="O8" s="22">
        <f>SUM(C8:N8)</f>
        <v>6131736.3901133751</v>
      </c>
      <c r="P8" s="22">
        <f>O8*(1+P9)</f>
        <v>7358083.66813605</v>
      </c>
      <c r="Q8" s="22">
        <f>P8*(1+Q9)</f>
        <v>8829700.4017632604</v>
      </c>
      <c r="R8" s="22">
        <f t="shared" ref="R8:X8" si="1">Q8*(1+R9)</f>
        <v>10595640.482115911</v>
      </c>
      <c r="S8" s="22">
        <f t="shared" si="1"/>
        <v>12714768.578539094</v>
      </c>
      <c r="T8" s="22">
        <f t="shared" si="1"/>
        <v>15257722.294246912</v>
      </c>
      <c r="U8" s="22">
        <f t="shared" si="1"/>
        <v>18309266.753096294</v>
      </c>
      <c r="V8" s="22">
        <f t="shared" si="1"/>
        <v>21971120.10371555</v>
      </c>
      <c r="W8" s="22">
        <f t="shared" si="1"/>
        <v>26365344.124458659</v>
      </c>
      <c r="X8" s="22">
        <f t="shared" si="1"/>
        <v>31638412.949350391</v>
      </c>
    </row>
    <row r="9" spans="1:24" s="32" customFormat="1" x14ac:dyDescent="0.2">
      <c r="B9" s="33" t="s">
        <v>25</v>
      </c>
      <c r="P9" s="34">
        <v>0.2</v>
      </c>
      <c r="Q9" s="34">
        <v>0.2</v>
      </c>
      <c r="R9" s="34">
        <v>0.2</v>
      </c>
      <c r="S9" s="34">
        <v>0.2</v>
      </c>
      <c r="T9" s="34">
        <v>0.2</v>
      </c>
      <c r="U9" s="34">
        <v>0.2</v>
      </c>
      <c r="V9" s="34">
        <v>0.2</v>
      </c>
      <c r="W9" s="34">
        <v>0.2</v>
      </c>
      <c r="X9" s="34">
        <v>0.2</v>
      </c>
    </row>
    <row r="10" spans="1:24" s="1" customFormat="1" x14ac:dyDescent="0.2">
      <c r="B10" s="31" t="s">
        <v>16</v>
      </c>
      <c r="C10" s="15">
        <v>6673400</v>
      </c>
      <c r="D10" s="15">
        <v>6673400</v>
      </c>
      <c r="E10" s="15">
        <v>6673400</v>
      </c>
      <c r="F10" s="15">
        <v>6673400</v>
      </c>
      <c r="G10" s="15">
        <v>6673400</v>
      </c>
      <c r="H10" s="15">
        <v>6673400</v>
      </c>
      <c r="I10" s="15">
        <v>6673400</v>
      </c>
      <c r="J10" s="15">
        <v>6673400</v>
      </c>
      <c r="K10" s="15">
        <v>6673400</v>
      </c>
      <c r="L10" s="15">
        <v>6673400</v>
      </c>
      <c r="M10" s="15">
        <v>6673400</v>
      </c>
      <c r="N10" s="15">
        <v>6673400</v>
      </c>
      <c r="O10" s="15">
        <v>6673400</v>
      </c>
      <c r="P10" s="15">
        <v>6673400</v>
      </c>
      <c r="Q10" s="15">
        <v>6673400</v>
      </c>
      <c r="R10" s="15">
        <v>6673400</v>
      </c>
      <c r="S10" s="15">
        <v>6673400</v>
      </c>
      <c r="T10" s="15">
        <v>6673400</v>
      </c>
      <c r="U10" s="15">
        <v>6673400</v>
      </c>
      <c r="V10" s="15">
        <v>6673400</v>
      </c>
      <c r="W10" s="15">
        <v>6673400</v>
      </c>
      <c r="X10" s="15">
        <v>6673400</v>
      </c>
    </row>
    <row r="11" spans="1:24" s="1" customFormat="1" x14ac:dyDescent="0.2">
      <c r="B11" s="31" t="s">
        <v>65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">
        <v>12</v>
      </c>
      <c r="P11" s="1">
        <v>13</v>
      </c>
      <c r="Q11" s="1">
        <v>14.5</v>
      </c>
      <c r="R11" s="1">
        <v>16</v>
      </c>
      <c r="S11" s="1">
        <v>17</v>
      </c>
      <c r="T11" s="1">
        <v>19</v>
      </c>
      <c r="U11" s="1">
        <v>21</v>
      </c>
      <c r="V11" s="1">
        <v>23</v>
      </c>
      <c r="W11" s="1">
        <v>27</v>
      </c>
      <c r="X11" s="1">
        <v>30</v>
      </c>
    </row>
    <row r="12" spans="1:24" s="1" customFormat="1" x14ac:dyDescent="0.2">
      <c r="B12" s="31" t="s">
        <v>17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">
        <f>O10*O11</f>
        <v>80080800</v>
      </c>
      <c r="P12" s="25">
        <f t="shared" ref="P12:X12" si="2">P10*P11</f>
        <v>86754200</v>
      </c>
      <c r="Q12" s="25">
        <f t="shared" si="2"/>
        <v>96764300</v>
      </c>
      <c r="R12" s="25">
        <f t="shared" si="2"/>
        <v>106774400</v>
      </c>
      <c r="S12" s="25">
        <f t="shared" si="2"/>
        <v>113447800</v>
      </c>
      <c r="T12" s="25">
        <f t="shared" si="2"/>
        <v>126794600</v>
      </c>
      <c r="U12" s="25">
        <f t="shared" si="2"/>
        <v>140141400</v>
      </c>
      <c r="V12" s="25">
        <f t="shared" si="2"/>
        <v>153488200</v>
      </c>
      <c r="W12" s="25">
        <f t="shared" si="2"/>
        <v>180181800</v>
      </c>
      <c r="X12" s="25">
        <f t="shared" si="2"/>
        <v>200202000</v>
      </c>
    </row>
    <row r="13" spans="1:24" s="1" customFormat="1" x14ac:dyDescent="0.2">
      <c r="B13" s="31" t="s">
        <v>18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2">
        <f>O8/O12</f>
        <v>7.6569369812906157E-2</v>
      </c>
      <c r="P13" s="42">
        <f t="shared" ref="P13:X13" si="3">P8/P12</f>
        <v>8.4815301946603736E-2</v>
      </c>
      <c r="Q13" s="42">
        <f t="shared" si="3"/>
        <v>9.124956623220816E-2</v>
      </c>
      <c r="R13" s="42">
        <f t="shared" si="3"/>
        <v>9.9233903277526361E-2</v>
      </c>
      <c r="S13" s="42">
        <f t="shared" si="3"/>
        <v>0.1120759378193239</v>
      </c>
      <c r="T13" s="42">
        <f t="shared" si="3"/>
        <v>0.12033416481653723</v>
      </c>
      <c r="U13" s="42">
        <f t="shared" si="3"/>
        <v>0.13064852180081185</v>
      </c>
      <c r="V13" s="42">
        <f t="shared" si="3"/>
        <v>0.14314533692958514</v>
      </c>
      <c r="W13" s="42">
        <f t="shared" si="3"/>
        <v>0.14632634441690925</v>
      </c>
      <c r="X13" s="42">
        <f t="shared" si="3"/>
        <v>0.158032451970262</v>
      </c>
    </row>
    <row r="14" spans="1:24" s="2" customFormat="1" ht="15" x14ac:dyDescent="0.2">
      <c r="A14" s="2">
        <v>2</v>
      </c>
      <c r="B14" s="2" t="s">
        <v>48</v>
      </c>
      <c r="C14" s="11">
        <v>234119</v>
      </c>
      <c r="D14" s="11">
        <v>247890</v>
      </c>
      <c r="E14" s="11">
        <v>397119</v>
      </c>
      <c r="F14" s="11">
        <v>346173.13691507798</v>
      </c>
      <c r="G14" s="11">
        <v>352872.98136645963</v>
      </c>
      <c r="H14" s="11">
        <v>155863.39041095891</v>
      </c>
      <c r="I14" s="11">
        <v>200000</v>
      </c>
      <c r="J14" s="11">
        <v>250000</v>
      </c>
      <c r="K14" s="11">
        <v>350000</v>
      </c>
      <c r="L14" s="11">
        <v>350000</v>
      </c>
      <c r="M14" s="11">
        <v>350000</v>
      </c>
      <c r="N14" s="11">
        <v>350000</v>
      </c>
      <c r="O14" s="22">
        <f>SUM(C14:N14)</f>
        <v>3584037.5086924965</v>
      </c>
      <c r="P14" s="22">
        <f>O14*(1+P15)</f>
        <v>4300845.0104309954</v>
      </c>
      <c r="Q14" s="22">
        <f t="shared" ref="Q14:X14" si="4">P14*(1+Q15)</f>
        <v>5161014.0125171943</v>
      </c>
      <c r="R14" s="22">
        <f t="shared" si="4"/>
        <v>6193216.8150206329</v>
      </c>
      <c r="S14" s="22">
        <f t="shared" si="4"/>
        <v>7431860.1780247595</v>
      </c>
      <c r="T14" s="22">
        <f t="shared" si="4"/>
        <v>8918232.2136297114</v>
      </c>
      <c r="U14" s="22">
        <f t="shared" si="4"/>
        <v>10701878.656355653</v>
      </c>
      <c r="V14" s="22">
        <f t="shared" si="4"/>
        <v>12842254.387626784</v>
      </c>
      <c r="W14" s="22">
        <f t="shared" si="4"/>
        <v>15410705.26515214</v>
      </c>
      <c r="X14" s="22">
        <f t="shared" si="4"/>
        <v>18492846.318182565</v>
      </c>
    </row>
    <row r="15" spans="1:24" s="32" customFormat="1" x14ac:dyDescent="0.2">
      <c r="B15" s="33" t="s">
        <v>25</v>
      </c>
      <c r="P15" s="34">
        <v>0.2</v>
      </c>
      <c r="Q15" s="34">
        <v>0.2</v>
      </c>
      <c r="R15" s="34">
        <v>0.2</v>
      </c>
      <c r="S15" s="34">
        <v>0.2</v>
      </c>
      <c r="T15" s="34">
        <v>0.2</v>
      </c>
      <c r="U15" s="34">
        <v>0.2</v>
      </c>
      <c r="V15" s="34">
        <v>0.2</v>
      </c>
      <c r="W15" s="34">
        <v>0.2</v>
      </c>
      <c r="X15" s="34">
        <v>0.2</v>
      </c>
    </row>
    <row r="16" spans="1:24" s="1" customFormat="1" x14ac:dyDescent="0.2">
      <c r="B16" s="31" t="s">
        <v>16</v>
      </c>
      <c r="C16" s="15">
        <v>5150600</v>
      </c>
      <c r="D16" s="15">
        <v>5150600</v>
      </c>
      <c r="E16" s="15">
        <v>5150600</v>
      </c>
      <c r="F16" s="15">
        <v>5150600</v>
      </c>
      <c r="G16" s="15">
        <v>5150600</v>
      </c>
      <c r="H16" s="15">
        <v>5150600</v>
      </c>
      <c r="I16" s="15">
        <v>5150600</v>
      </c>
      <c r="J16" s="15">
        <v>5150600</v>
      </c>
      <c r="K16" s="15">
        <v>5150600</v>
      </c>
      <c r="L16" s="15">
        <v>5150600</v>
      </c>
      <c r="M16" s="15">
        <v>5150600</v>
      </c>
      <c r="N16" s="15">
        <v>5150600</v>
      </c>
      <c r="O16" s="15">
        <v>5150600</v>
      </c>
      <c r="P16" s="15">
        <v>5150600</v>
      </c>
      <c r="Q16" s="15">
        <v>5150600</v>
      </c>
      <c r="R16" s="15">
        <v>5150600</v>
      </c>
      <c r="S16" s="15">
        <v>5150600</v>
      </c>
      <c r="T16" s="15">
        <v>5150600</v>
      </c>
      <c r="U16" s="15">
        <v>5150600</v>
      </c>
      <c r="V16" s="15">
        <v>5150600</v>
      </c>
      <c r="W16" s="15">
        <v>5150600</v>
      </c>
      <c r="X16" s="15">
        <v>5150600</v>
      </c>
    </row>
    <row r="17" spans="1:24" s="1" customFormat="1" x14ac:dyDescent="0.2">
      <c r="B17" s="31" t="s">
        <v>19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">
        <v>11</v>
      </c>
      <c r="P17" s="1">
        <v>12</v>
      </c>
      <c r="Q17" s="1">
        <v>13.5</v>
      </c>
      <c r="R17" s="1">
        <v>15</v>
      </c>
      <c r="S17" s="1">
        <v>17</v>
      </c>
      <c r="T17" s="1">
        <v>19</v>
      </c>
      <c r="U17" s="1">
        <v>21</v>
      </c>
      <c r="V17" s="1">
        <v>23</v>
      </c>
      <c r="W17" s="1">
        <v>25.5</v>
      </c>
      <c r="X17" s="1">
        <v>27.5</v>
      </c>
    </row>
    <row r="18" spans="1:24" s="1" customFormat="1" x14ac:dyDescent="0.2">
      <c r="B18" s="31" t="s">
        <v>17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5">
        <f>O16*O17</f>
        <v>56656600</v>
      </c>
      <c r="P18" s="25">
        <f t="shared" ref="P18:X18" si="5">P16*P17</f>
        <v>61807200</v>
      </c>
      <c r="Q18" s="25">
        <f t="shared" si="5"/>
        <v>69533100</v>
      </c>
      <c r="R18" s="25">
        <f t="shared" si="5"/>
        <v>77259000</v>
      </c>
      <c r="S18" s="25">
        <f t="shared" si="5"/>
        <v>87560200</v>
      </c>
      <c r="T18" s="25">
        <f t="shared" si="5"/>
        <v>97861400</v>
      </c>
      <c r="U18" s="25">
        <f t="shared" si="5"/>
        <v>108162600</v>
      </c>
      <c r="V18" s="25">
        <f t="shared" si="5"/>
        <v>118463800</v>
      </c>
      <c r="W18" s="25">
        <f t="shared" si="5"/>
        <v>131340300</v>
      </c>
      <c r="X18" s="25">
        <f t="shared" si="5"/>
        <v>141641500</v>
      </c>
    </row>
    <row r="19" spans="1:24" s="1" customFormat="1" x14ac:dyDescent="0.2">
      <c r="B19" s="31" t="s">
        <v>18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2">
        <f>O14/O18</f>
        <v>6.3258958509555749E-2</v>
      </c>
      <c r="P19" s="42">
        <f t="shared" ref="P19:X19" si="6">P14/P18</f>
        <v>6.9584854360511317E-2</v>
      </c>
      <c r="Q19" s="42">
        <f t="shared" si="6"/>
        <v>7.4223844651212068E-2</v>
      </c>
      <c r="R19" s="42">
        <f t="shared" si="6"/>
        <v>8.0161752223309041E-2</v>
      </c>
      <c r="S19" s="42">
        <f t="shared" si="6"/>
        <v>8.4877149412915451E-2</v>
      </c>
      <c r="T19" s="42">
        <f t="shared" si="6"/>
        <v>9.1131255159130273E-2</v>
      </c>
      <c r="U19" s="42">
        <f t="shared" si="6"/>
        <v>9.8942505601341435E-2</v>
      </c>
      <c r="V19" s="42">
        <f t="shared" si="6"/>
        <v>0.10840657135451323</v>
      </c>
      <c r="W19" s="42">
        <f t="shared" si="6"/>
        <v>0.11733417134841431</v>
      </c>
      <c r="X19" s="42">
        <f t="shared" si="6"/>
        <v>0.13056093248223555</v>
      </c>
    </row>
    <row r="20" spans="1:24" s="2" customFormat="1" ht="15" x14ac:dyDescent="0.2">
      <c r="A20" s="2">
        <v>3</v>
      </c>
      <c r="B20" s="2" t="s">
        <v>49</v>
      </c>
      <c r="C20" s="11">
        <v>434703</v>
      </c>
      <c r="D20" s="11">
        <v>492953</v>
      </c>
      <c r="E20" s="11">
        <v>439078.56645789841</v>
      </c>
      <c r="F20" s="11">
        <v>421302.49566724437</v>
      </c>
      <c r="G20" s="11">
        <v>443872.9468599034</v>
      </c>
      <c r="H20" s="11">
        <v>376839.00684931508</v>
      </c>
      <c r="I20" s="11">
        <v>420000</v>
      </c>
      <c r="J20" s="11">
        <v>450000</v>
      </c>
      <c r="K20" s="11">
        <v>450000</v>
      </c>
      <c r="L20" s="11">
        <v>450000</v>
      </c>
      <c r="M20" s="11">
        <v>450000</v>
      </c>
      <c r="N20" s="11">
        <v>450000</v>
      </c>
      <c r="O20" s="22">
        <f>SUM(C20:N20)</f>
        <v>5278749.0158343613</v>
      </c>
      <c r="P20" s="22">
        <f>O20*(1+P21)</f>
        <v>6334498.8190012332</v>
      </c>
      <c r="Q20" s="22">
        <f t="shared" ref="Q20:X20" si="7">P20*(1+Q21)</f>
        <v>7918123.523751542</v>
      </c>
      <c r="R20" s="22">
        <f t="shared" si="7"/>
        <v>9897654.4046894275</v>
      </c>
      <c r="S20" s="22">
        <f t="shared" si="7"/>
        <v>12372068.005861785</v>
      </c>
      <c r="T20" s="22">
        <f t="shared" si="7"/>
        <v>15465085.007327233</v>
      </c>
      <c r="U20" s="22">
        <f t="shared" si="7"/>
        <v>19331356.25915904</v>
      </c>
      <c r="V20" s="22">
        <f t="shared" si="7"/>
        <v>24164195.323948801</v>
      </c>
      <c r="W20" s="22">
        <f t="shared" si="7"/>
        <v>30205244.154936001</v>
      </c>
      <c r="X20" s="22">
        <f t="shared" si="7"/>
        <v>37756555.193670005</v>
      </c>
    </row>
    <row r="21" spans="1:24" s="32" customFormat="1" x14ac:dyDescent="0.2">
      <c r="B21" s="33" t="s">
        <v>25</v>
      </c>
      <c r="P21" s="34">
        <v>0.2</v>
      </c>
      <c r="Q21" s="34">
        <v>0.25</v>
      </c>
      <c r="R21" s="34">
        <v>0.25</v>
      </c>
      <c r="S21" s="34">
        <v>0.25</v>
      </c>
      <c r="T21" s="34">
        <v>0.25</v>
      </c>
      <c r="U21" s="34">
        <v>0.25</v>
      </c>
      <c r="V21" s="34">
        <v>0.25</v>
      </c>
      <c r="W21" s="34">
        <v>0.25</v>
      </c>
      <c r="X21" s="34">
        <v>0.25</v>
      </c>
    </row>
    <row r="22" spans="1:24" s="1" customFormat="1" x14ac:dyDescent="0.2">
      <c r="B22" s="31" t="s">
        <v>16</v>
      </c>
      <c r="C22" s="15">
        <v>5823700</v>
      </c>
      <c r="D22" s="15">
        <v>5823700</v>
      </c>
      <c r="E22" s="15">
        <v>5823700</v>
      </c>
      <c r="F22" s="15">
        <v>5823700</v>
      </c>
      <c r="G22" s="15">
        <v>5823700</v>
      </c>
      <c r="H22" s="15">
        <v>5823700</v>
      </c>
      <c r="I22" s="15">
        <v>5823700</v>
      </c>
      <c r="J22" s="15">
        <v>5823700</v>
      </c>
      <c r="K22" s="15">
        <v>5823700</v>
      </c>
      <c r="L22" s="15">
        <v>5823700</v>
      </c>
      <c r="M22" s="15">
        <v>5823700</v>
      </c>
      <c r="N22" s="15">
        <v>5823700</v>
      </c>
      <c r="O22" s="15">
        <v>5823700</v>
      </c>
      <c r="P22" s="15">
        <v>5823700</v>
      </c>
      <c r="Q22" s="15">
        <v>5823700</v>
      </c>
      <c r="R22" s="15">
        <v>5823700</v>
      </c>
      <c r="S22" s="15">
        <v>5823700</v>
      </c>
      <c r="T22" s="15">
        <v>5823700</v>
      </c>
      <c r="U22" s="15">
        <v>5823700</v>
      </c>
      <c r="V22" s="15">
        <v>5823700</v>
      </c>
      <c r="W22" s="15">
        <v>5823700</v>
      </c>
      <c r="X22" s="15">
        <v>5823700</v>
      </c>
    </row>
    <row r="23" spans="1:24" s="1" customFormat="1" x14ac:dyDescent="0.2">
      <c r="B23" s="31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">
        <v>21</v>
      </c>
      <c r="P23" s="1">
        <v>23</v>
      </c>
      <c r="Q23" s="1">
        <v>25.5</v>
      </c>
      <c r="R23" s="1">
        <v>27</v>
      </c>
      <c r="S23" s="1">
        <v>29.5</v>
      </c>
      <c r="T23" s="1">
        <v>32</v>
      </c>
      <c r="U23" s="1">
        <v>35</v>
      </c>
      <c r="V23" s="1">
        <v>38.5</v>
      </c>
      <c r="W23" s="1">
        <v>41</v>
      </c>
      <c r="X23" s="1">
        <v>44</v>
      </c>
    </row>
    <row r="24" spans="1:24" s="1" customFormat="1" x14ac:dyDescent="0.2">
      <c r="B24" s="31" t="s">
        <v>17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5">
        <f>O22*O23</f>
        <v>122297700</v>
      </c>
      <c r="P24" s="25">
        <f t="shared" ref="P24:X24" si="8">P22*P23</f>
        <v>133945100</v>
      </c>
      <c r="Q24" s="25">
        <f t="shared" si="8"/>
        <v>148504350</v>
      </c>
      <c r="R24" s="25">
        <f t="shared" si="8"/>
        <v>157239900</v>
      </c>
      <c r="S24" s="25">
        <f t="shared" si="8"/>
        <v>171799150</v>
      </c>
      <c r="T24" s="25">
        <f t="shared" si="8"/>
        <v>186358400</v>
      </c>
      <c r="U24" s="25">
        <f t="shared" si="8"/>
        <v>203829500</v>
      </c>
      <c r="V24" s="25">
        <f t="shared" si="8"/>
        <v>224212450</v>
      </c>
      <c r="W24" s="25">
        <f t="shared" si="8"/>
        <v>238771700</v>
      </c>
      <c r="X24" s="25">
        <f t="shared" si="8"/>
        <v>256242800</v>
      </c>
    </row>
    <row r="25" spans="1:24" s="1" customFormat="1" x14ac:dyDescent="0.2">
      <c r="B25" s="31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2">
        <f>O20/O24</f>
        <v>4.3163109492937002E-2</v>
      </c>
      <c r="P25" s="42">
        <f t="shared" ref="P25:X25" si="9">P20/P24</f>
        <v>4.7291754748783145E-2</v>
      </c>
      <c r="Q25" s="42">
        <f t="shared" si="9"/>
        <v>5.3319135255980997E-2</v>
      </c>
      <c r="R25" s="42">
        <f t="shared" si="9"/>
        <v>6.2946201343866456E-2</v>
      </c>
      <c r="S25" s="42">
        <f t="shared" si="9"/>
        <v>7.2014721876457397E-2</v>
      </c>
      <c r="T25" s="42">
        <f t="shared" si="9"/>
        <v>8.2985714662323962E-2</v>
      </c>
      <c r="U25" s="42">
        <f t="shared" si="9"/>
        <v>9.4840816756941657E-2</v>
      </c>
      <c r="V25" s="42">
        <f t="shared" si="9"/>
        <v>0.10777365540561552</v>
      </c>
      <c r="W25" s="42">
        <f t="shared" si="9"/>
        <v>0.12650261381451822</v>
      </c>
      <c r="X25" s="42">
        <f t="shared" si="9"/>
        <v>0.14734679449986499</v>
      </c>
    </row>
    <row r="26" spans="1:24" s="2" customFormat="1" ht="15" x14ac:dyDescent="0.2">
      <c r="A26" s="2">
        <v>4</v>
      </c>
      <c r="B26" s="2" t="s">
        <v>50</v>
      </c>
      <c r="C26" s="11">
        <v>316189</v>
      </c>
      <c r="D26" s="11">
        <v>310176</v>
      </c>
      <c r="E26" s="11">
        <v>373955.67153792625</v>
      </c>
      <c r="F26" s="11">
        <v>369139.41074523394</v>
      </c>
      <c r="G26" s="11">
        <v>384095.37612146308</v>
      </c>
      <c r="H26" s="11">
        <v>228137.36301369863</v>
      </c>
      <c r="I26" s="11">
        <v>300000</v>
      </c>
      <c r="J26" s="11">
        <v>350000</v>
      </c>
      <c r="K26" s="11">
        <v>350000</v>
      </c>
      <c r="L26" s="11">
        <v>350000</v>
      </c>
      <c r="M26" s="11">
        <v>350000</v>
      </c>
      <c r="N26" s="11">
        <v>350000</v>
      </c>
      <c r="O26" s="22">
        <f>SUM(C26:N26)</f>
        <v>4031692.8214183217</v>
      </c>
      <c r="P26" s="22">
        <f>O26*(1+P27)</f>
        <v>4636446.7446310697</v>
      </c>
      <c r="Q26" s="22">
        <f t="shared" ref="Q26:X26" si="10">P26*(1+Q27)</f>
        <v>5563736.0935572833</v>
      </c>
      <c r="R26" s="22">
        <f t="shared" si="10"/>
        <v>6676483.3122687396</v>
      </c>
      <c r="S26" s="22">
        <f t="shared" si="10"/>
        <v>8011779.9747224869</v>
      </c>
      <c r="T26" s="22">
        <f t="shared" si="10"/>
        <v>9614135.9696669839</v>
      </c>
      <c r="U26" s="22">
        <f t="shared" si="10"/>
        <v>11536963.16360038</v>
      </c>
      <c r="V26" s="22">
        <f t="shared" si="10"/>
        <v>13844355.796320455</v>
      </c>
      <c r="W26" s="22">
        <f t="shared" si="10"/>
        <v>16613226.955584545</v>
      </c>
      <c r="X26" s="22">
        <f t="shared" si="10"/>
        <v>19935872.346701454</v>
      </c>
    </row>
    <row r="27" spans="1:24" s="32" customFormat="1" x14ac:dyDescent="0.2">
      <c r="B27" s="33" t="s">
        <v>25</v>
      </c>
      <c r="P27" s="34">
        <v>0.15</v>
      </c>
      <c r="Q27" s="34">
        <v>0.2</v>
      </c>
      <c r="R27" s="34">
        <v>0.2</v>
      </c>
      <c r="S27" s="34">
        <v>0.2</v>
      </c>
      <c r="T27" s="34">
        <v>0.2</v>
      </c>
      <c r="U27" s="34">
        <v>0.2</v>
      </c>
      <c r="V27" s="34">
        <v>0.2</v>
      </c>
      <c r="W27" s="34">
        <v>0.2</v>
      </c>
      <c r="X27" s="34">
        <v>0.2</v>
      </c>
    </row>
    <row r="28" spans="1:24" s="1" customFormat="1" x14ac:dyDescent="0.2">
      <c r="B28" s="31" t="s">
        <v>16</v>
      </c>
      <c r="C28" s="15">
        <v>3736800</v>
      </c>
      <c r="D28" s="15">
        <v>3736800</v>
      </c>
      <c r="E28" s="15">
        <v>3736800</v>
      </c>
      <c r="F28" s="15">
        <v>3736800</v>
      </c>
      <c r="G28" s="15">
        <v>3736800</v>
      </c>
      <c r="H28" s="15">
        <v>3736800</v>
      </c>
      <c r="I28" s="15">
        <v>3736800</v>
      </c>
      <c r="J28" s="15">
        <v>3736800</v>
      </c>
      <c r="K28" s="15">
        <v>3736800</v>
      </c>
      <c r="L28" s="15">
        <v>3736800</v>
      </c>
      <c r="M28" s="15">
        <v>3736800</v>
      </c>
      <c r="N28" s="15">
        <v>3736800</v>
      </c>
      <c r="O28" s="15">
        <v>3736800</v>
      </c>
      <c r="P28" s="15">
        <v>3736800</v>
      </c>
      <c r="Q28" s="15">
        <v>3736800</v>
      </c>
      <c r="R28" s="15">
        <v>3736800</v>
      </c>
      <c r="S28" s="15">
        <v>3736800</v>
      </c>
      <c r="T28" s="15">
        <v>3736800</v>
      </c>
      <c r="U28" s="15">
        <v>3736800</v>
      </c>
      <c r="V28" s="15">
        <v>3736800</v>
      </c>
      <c r="W28" s="15">
        <v>3736800</v>
      </c>
      <c r="X28" s="15">
        <v>3736800</v>
      </c>
    </row>
    <row r="29" spans="1:24" s="1" customFormat="1" x14ac:dyDescent="0.2">
      <c r="B29" s="31" t="s">
        <v>19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">
        <v>15</v>
      </c>
      <c r="P29" s="1">
        <v>16.5</v>
      </c>
      <c r="Q29" s="1">
        <v>18.5</v>
      </c>
      <c r="R29" s="1">
        <v>21</v>
      </c>
      <c r="S29" s="1">
        <v>23</v>
      </c>
      <c r="T29" s="1">
        <v>25.5</v>
      </c>
      <c r="U29" s="1">
        <v>27.5</v>
      </c>
      <c r="V29" s="1">
        <v>30</v>
      </c>
      <c r="W29" s="1">
        <v>33</v>
      </c>
      <c r="X29" s="1">
        <v>36.5</v>
      </c>
    </row>
    <row r="30" spans="1:24" s="1" customFormat="1" x14ac:dyDescent="0.2">
      <c r="B30" s="31" t="s">
        <v>17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5">
        <f>O28*O29</f>
        <v>56052000</v>
      </c>
      <c r="P30" s="25">
        <f t="shared" ref="P30:X30" si="11">P28*P29</f>
        <v>61657200</v>
      </c>
      <c r="Q30" s="25">
        <f t="shared" si="11"/>
        <v>69130800</v>
      </c>
      <c r="R30" s="25">
        <f t="shared" si="11"/>
        <v>78472800</v>
      </c>
      <c r="S30" s="25">
        <f t="shared" si="11"/>
        <v>85946400</v>
      </c>
      <c r="T30" s="25">
        <f t="shared" si="11"/>
        <v>95288400</v>
      </c>
      <c r="U30" s="25">
        <f t="shared" si="11"/>
        <v>102762000</v>
      </c>
      <c r="V30" s="25">
        <f t="shared" si="11"/>
        <v>112104000</v>
      </c>
      <c r="W30" s="25">
        <f t="shared" si="11"/>
        <v>123314400</v>
      </c>
      <c r="X30" s="25">
        <f t="shared" si="11"/>
        <v>136393200</v>
      </c>
    </row>
    <row r="31" spans="1:24" s="1" customFormat="1" x14ac:dyDescent="0.2">
      <c r="B31" s="31" t="s">
        <v>18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42">
        <f>O26/O30</f>
        <v>7.192772463816316E-2</v>
      </c>
      <c r="P31" s="42">
        <f t="shared" ref="P31:X31" si="12">P26/P30</f>
        <v>7.5197166667170579E-2</v>
      </c>
      <c r="Q31" s="42">
        <f t="shared" si="12"/>
        <v>8.0481291892431209E-2</v>
      </c>
      <c r="R31" s="42">
        <f t="shared" si="12"/>
        <v>8.5080222857712981E-2</v>
      </c>
      <c r="S31" s="42">
        <f t="shared" si="12"/>
        <v>9.3218331131059443E-2</v>
      </c>
      <c r="T31" s="42">
        <f t="shared" si="12"/>
        <v>0.10089513487126434</v>
      </c>
      <c r="U31" s="42">
        <f t="shared" si="12"/>
        <v>0.11226876825675229</v>
      </c>
      <c r="V31" s="42">
        <f t="shared" si="12"/>
        <v>0.12349564508242752</v>
      </c>
      <c r="W31" s="42">
        <f t="shared" si="12"/>
        <v>0.13472252190810274</v>
      </c>
      <c r="X31" s="42">
        <f t="shared" si="12"/>
        <v>0.14616470870029777</v>
      </c>
    </row>
    <row r="32" spans="1:24" s="2" customFormat="1" ht="15" x14ac:dyDescent="0.2">
      <c r="A32" s="2">
        <v>5</v>
      </c>
      <c r="B32" s="2" t="s">
        <v>51</v>
      </c>
      <c r="C32" s="11">
        <v>406159</v>
      </c>
      <c r="D32" s="11">
        <v>380632</v>
      </c>
      <c r="E32" s="11">
        <v>378440</v>
      </c>
      <c r="F32" s="11">
        <v>299429.94800693239</v>
      </c>
      <c r="G32" s="11">
        <v>341035.99033816427</v>
      </c>
      <c r="H32" s="11">
        <v>252007.94520547945</v>
      </c>
      <c r="I32" s="11">
        <v>300000</v>
      </c>
      <c r="J32" s="11">
        <v>350000</v>
      </c>
      <c r="K32" s="11">
        <v>400000</v>
      </c>
      <c r="L32" s="11">
        <v>500000</v>
      </c>
      <c r="M32" s="11">
        <v>600000</v>
      </c>
      <c r="N32" s="11">
        <v>700000</v>
      </c>
      <c r="O32" s="22">
        <f>SUM(C32:N32)</f>
        <v>4907704.8835505759</v>
      </c>
      <c r="P32" s="22">
        <f>O32*(1+P33)</f>
        <v>6134631.1044382202</v>
      </c>
      <c r="Q32" s="22">
        <f t="shared" ref="Q32:X32" si="13">P32*(1+Q33)</f>
        <v>7668288.880547775</v>
      </c>
      <c r="R32" s="22">
        <f t="shared" si="13"/>
        <v>9585361.1006847192</v>
      </c>
      <c r="S32" s="22">
        <f t="shared" si="13"/>
        <v>11981701.375855898</v>
      </c>
      <c r="T32" s="22">
        <f t="shared" si="13"/>
        <v>14977126.719819874</v>
      </c>
      <c r="U32" s="22">
        <f t="shared" si="13"/>
        <v>18721408.399774842</v>
      </c>
      <c r="V32" s="22">
        <f t="shared" si="13"/>
        <v>23401760.499718554</v>
      </c>
      <c r="W32" s="22">
        <f t="shared" si="13"/>
        <v>29252200.624648191</v>
      </c>
      <c r="X32" s="22">
        <f t="shared" si="13"/>
        <v>36565250.780810237</v>
      </c>
    </row>
    <row r="33" spans="1:24" s="32" customFormat="1" x14ac:dyDescent="0.2">
      <c r="B33" s="33" t="s">
        <v>25</v>
      </c>
      <c r="P33" s="34">
        <v>0.25</v>
      </c>
      <c r="Q33" s="34">
        <v>0.25</v>
      </c>
      <c r="R33" s="34">
        <v>0.25</v>
      </c>
      <c r="S33" s="34">
        <v>0.25</v>
      </c>
      <c r="T33" s="34">
        <v>0.25</v>
      </c>
      <c r="U33" s="34">
        <v>0.25</v>
      </c>
      <c r="V33" s="34">
        <v>0.25</v>
      </c>
      <c r="W33" s="34">
        <v>0.25</v>
      </c>
      <c r="X33" s="34">
        <v>0.25</v>
      </c>
    </row>
    <row r="34" spans="1:24" s="1" customFormat="1" x14ac:dyDescent="0.2">
      <c r="B34" s="31" t="s">
        <v>16</v>
      </c>
      <c r="C34" s="15">
        <v>8116100</v>
      </c>
      <c r="D34" s="15">
        <v>8116100</v>
      </c>
      <c r="E34" s="15">
        <v>8116100</v>
      </c>
      <c r="F34" s="15">
        <v>8116100</v>
      </c>
      <c r="G34" s="15">
        <v>8116100</v>
      </c>
      <c r="H34" s="15">
        <v>8116100</v>
      </c>
      <c r="I34" s="15">
        <v>8116100</v>
      </c>
      <c r="J34" s="15">
        <v>8116100</v>
      </c>
      <c r="K34" s="15">
        <v>8116100</v>
      </c>
      <c r="L34" s="15">
        <v>8116100</v>
      </c>
      <c r="M34" s="15">
        <v>8116100</v>
      </c>
      <c r="N34" s="15">
        <v>8116100</v>
      </c>
      <c r="O34" s="15">
        <v>8116100</v>
      </c>
      <c r="P34" s="15">
        <v>8116100</v>
      </c>
      <c r="Q34" s="15">
        <v>8116100</v>
      </c>
      <c r="R34" s="15">
        <v>8116100</v>
      </c>
      <c r="S34" s="15">
        <v>8116100</v>
      </c>
      <c r="T34" s="15">
        <v>8116100</v>
      </c>
      <c r="U34" s="15">
        <v>8116100</v>
      </c>
      <c r="V34" s="15">
        <v>8116100</v>
      </c>
      <c r="W34" s="15">
        <v>8116100</v>
      </c>
      <c r="X34" s="15">
        <v>8116100</v>
      </c>
    </row>
    <row r="35" spans="1:24" s="1" customFormat="1" x14ac:dyDescent="0.2">
      <c r="B35" s="31" t="s">
        <v>19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">
        <v>18</v>
      </c>
      <c r="P35" s="1">
        <f>O35*1.1</f>
        <v>19.8</v>
      </c>
      <c r="Q35" s="44">
        <f t="shared" ref="Q35:X35" si="14">P35*1.1</f>
        <v>21.78</v>
      </c>
      <c r="R35" s="43">
        <f t="shared" si="14"/>
        <v>23.958000000000002</v>
      </c>
      <c r="S35" s="43">
        <f t="shared" si="14"/>
        <v>26.353800000000003</v>
      </c>
      <c r="T35" s="43">
        <f t="shared" si="14"/>
        <v>28.989180000000005</v>
      </c>
      <c r="U35" s="43">
        <f t="shared" si="14"/>
        <v>31.888098000000006</v>
      </c>
      <c r="V35" s="43">
        <f t="shared" si="14"/>
        <v>35.076907800000008</v>
      </c>
      <c r="W35" s="43">
        <f t="shared" si="14"/>
        <v>38.584598580000012</v>
      </c>
      <c r="X35" s="43">
        <f t="shared" si="14"/>
        <v>42.443058438000016</v>
      </c>
    </row>
    <row r="36" spans="1:24" s="1" customFormat="1" x14ac:dyDescent="0.2">
      <c r="B36" s="31" t="s">
        <v>17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5">
        <f>O34*O35</f>
        <v>146089800</v>
      </c>
      <c r="P36" s="25">
        <f t="shared" ref="P36:X36" si="15">P34*P35</f>
        <v>160698780</v>
      </c>
      <c r="Q36" s="25">
        <f t="shared" si="15"/>
        <v>176768658</v>
      </c>
      <c r="R36" s="25">
        <f t="shared" si="15"/>
        <v>194445523.80000001</v>
      </c>
      <c r="S36" s="25">
        <f t="shared" si="15"/>
        <v>213890076.18000004</v>
      </c>
      <c r="T36" s="25">
        <f t="shared" si="15"/>
        <v>235279083.79800004</v>
      </c>
      <c r="U36" s="25">
        <f t="shared" si="15"/>
        <v>258806992.17780006</v>
      </c>
      <c r="V36" s="25">
        <f t="shared" si="15"/>
        <v>284687691.39558005</v>
      </c>
      <c r="W36" s="25">
        <f t="shared" si="15"/>
        <v>313156460.53513807</v>
      </c>
      <c r="X36" s="25">
        <f t="shared" si="15"/>
        <v>344472106.58865196</v>
      </c>
    </row>
    <row r="37" spans="1:24" s="1" customFormat="1" x14ac:dyDescent="0.2">
      <c r="B37" s="31" t="s">
        <v>18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42">
        <f>O32/O36</f>
        <v>3.3593754550629656E-2</v>
      </c>
      <c r="P37" s="42">
        <f t="shared" ref="P37:X37" si="16">P32/P36</f>
        <v>3.8174721080260973E-2</v>
      </c>
      <c r="Q37" s="42">
        <f t="shared" si="16"/>
        <v>4.3380364863932923E-2</v>
      </c>
      <c r="R37" s="42">
        <f t="shared" si="16"/>
        <v>4.9295869163560137E-2</v>
      </c>
      <c r="S37" s="42">
        <f t="shared" si="16"/>
        <v>5.6018033140409235E-2</v>
      </c>
      <c r="T37" s="42">
        <f t="shared" si="16"/>
        <v>6.3656855841374135E-2</v>
      </c>
      <c r="U37" s="42">
        <f t="shared" si="16"/>
        <v>7.2337336183379689E-2</v>
      </c>
      <c r="V37" s="42">
        <f t="shared" si="16"/>
        <v>8.2201518390204203E-2</v>
      </c>
      <c r="W37" s="42">
        <f t="shared" si="16"/>
        <v>9.3410816352504769E-2</v>
      </c>
      <c r="X37" s="42">
        <f t="shared" si="16"/>
        <v>0.10614865494602813</v>
      </c>
    </row>
    <row r="38" spans="1:24" s="2" customFormat="1" ht="15" x14ac:dyDescent="0.2">
      <c r="A38" s="2">
        <v>6</v>
      </c>
      <c r="B38" s="2" t="s">
        <v>22</v>
      </c>
      <c r="C38" s="11">
        <v>252120</v>
      </c>
      <c r="D38" s="11">
        <v>297370</v>
      </c>
      <c r="E38" s="11">
        <v>387543.11064718163</v>
      </c>
      <c r="F38" s="11">
        <v>221090.25996533796</v>
      </c>
      <c r="G38" s="11">
        <v>221988.47481021393</v>
      </c>
      <c r="H38" s="11">
        <v>185099.07534246575</v>
      </c>
      <c r="I38" s="11">
        <v>200000</v>
      </c>
      <c r="J38" s="11">
        <v>250000</v>
      </c>
      <c r="K38" s="11">
        <v>300000</v>
      </c>
      <c r="L38" s="11">
        <v>300000</v>
      </c>
      <c r="M38" s="11">
        <v>300000</v>
      </c>
      <c r="N38" s="11">
        <v>300000</v>
      </c>
      <c r="O38" s="22">
        <f>SUM(C38:N38)</f>
        <v>3215210.9207651992</v>
      </c>
      <c r="P38" s="22">
        <f>O38*(1+P39)</f>
        <v>4019013.6509564989</v>
      </c>
      <c r="Q38" s="22">
        <f t="shared" ref="Q38:X38" si="17">P38*(1+Q39)</f>
        <v>5023767.0636956235</v>
      </c>
      <c r="R38" s="22">
        <f t="shared" si="17"/>
        <v>6279708.8296195297</v>
      </c>
      <c r="S38" s="22">
        <f t="shared" si="17"/>
        <v>7849636.0370244123</v>
      </c>
      <c r="T38" s="22">
        <f t="shared" si="17"/>
        <v>9812045.0462805144</v>
      </c>
      <c r="U38" s="22">
        <f t="shared" si="17"/>
        <v>12265056.307850644</v>
      </c>
      <c r="V38" s="22">
        <f t="shared" si="17"/>
        <v>15331320.384813305</v>
      </c>
      <c r="W38" s="22">
        <f t="shared" si="17"/>
        <v>19164150.481016632</v>
      </c>
      <c r="X38" s="22">
        <f t="shared" si="17"/>
        <v>23955188.101270791</v>
      </c>
    </row>
    <row r="39" spans="1:24" s="32" customFormat="1" x14ac:dyDescent="0.2">
      <c r="B39" s="33" t="s">
        <v>25</v>
      </c>
      <c r="P39" s="34">
        <v>0.25</v>
      </c>
      <c r="Q39" s="34">
        <v>0.25</v>
      </c>
      <c r="R39" s="34">
        <v>0.25</v>
      </c>
      <c r="S39" s="34">
        <v>0.25</v>
      </c>
      <c r="T39" s="34">
        <v>0.25</v>
      </c>
      <c r="U39" s="34">
        <v>0.25</v>
      </c>
      <c r="V39" s="34">
        <v>0.25</v>
      </c>
      <c r="W39" s="34">
        <v>0.25</v>
      </c>
      <c r="X39" s="34">
        <v>0.25</v>
      </c>
    </row>
    <row r="40" spans="1:24" s="1" customFormat="1" x14ac:dyDescent="0.2">
      <c r="B40" s="31" t="s">
        <v>16</v>
      </c>
      <c r="C40" s="15">
        <v>10813658</v>
      </c>
      <c r="D40" s="15">
        <v>10813658</v>
      </c>
      <c r="E40" s="15">
        <v>10813658</v>
      </c>
      <c r="F40" s="15">
        <v>10813658</v>
      </c>
      <c r="G40" s="15">
        <v>10813658</v>
      </c>
      <c r="H40" s="15">
        <v>10813658</v>
      </c>
      <c r="I40" s="15">
        <v>10813658</v>
      </c>
      <c r="J40" s="15">
        <v>10813658</v>
      </c>
      <c r="K40" s="15">
        <v>10813658</v>
      </c>
      <c r="L40" s="15">
        <v>10813658</v>
      </c>
      <c r="M40" s="15">
        <v>10813658</v>
      </c>
      <c r="N40" s="15">
        <v>10813658</v>
      </c>
      <c r="O40" s="15">
        <v>10813658</v>
      </c>
      <c r="P40" s="15">
        <v>10813658</v>
      </c>
      <c r="Q40" s="15">
        <v>10813658</v>
      </c>
      <c r="R40" s="15">
        <v>10813658</v>
      </c>
      <c r="S40" s="15">
        <v>10813658</v>
      </c>
      <c r="T40" s="15">
        <v>10813658</v>
      </c>
      <c r="U40" s="15">
        <v>10813658</v>
      </c>
      <c r="V40" s="15">
        <v>10813658</v>
      </c>
      <c r="W40" s="15">
        <v>10813658</v>
      </c>
      <c r="X40" s="15">
        <v>10813658</v>
      </c>
    </row>
    <row r="41" spans="1:24" s="1" customFormat="1" x14ac:dyDescent="0.2">
      <c r="B41" s="31" t="s">
        <v>19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">
        <v>20</v>
      </c>
      <c r="P41" s="45">
        <f>O41*1.1</f>
        <v>22</v>
      </c>
      <c r="Q41" s="45">
        <f t="shared" ref="Q41:X41" si="18">P41*1.1</f>
        <v>24.200000000000003</v>
      </c>
      <c r="R41" s="45">
        <f t="shared" si="18"/>
        <v>26.620000000000005</v>
      </c>
      <c r="S41" s="45">
        <f t="shared" si="18"/>
        <v>29.282000000000007</v>
      </c>
      <c r="T41" s="45">
        <f t="shared" si="18"/>
        <v>32.210200000000007</v>
      </c>
      <c r="U41" s="45">
        <f t="shared" si="18"/>
        <v>35.43122000000001</v>
      </c>
      <c r="V41" s="45">
        <f t="shared" si="18"/>
        <v>38.974342000000014</v>
      </c>
      <c r="W41" s="45">
        <f t="shared" si="18"/>
        <v>42.871776200000021</v>
      </c>
      <c r="X41" s="45">
        <f t="shared" si="18"/>
        <v>47.158953820000029</v>
      </c>
    </row>
    <row r="42" spans="1:24" s="1" customFormat="1" x14ac:dyDescent="0.2">
      <c r="B42" s="31" t="s">
        <v>17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5">
        <f>O40*O41</f>
        <v>216273160</v>
      </c>
      <c r="P42" s="25">
        <f t="shared" ref="P42:X42" si="19">P40*P41</f>
        <v>237900476</v>
      </c>
      <c r="Q42" s="25">
        <f t="shared" si="19"/>
        <v>261690523.60000002</v>
      </c>
      <c r="R42" s="25">
        <f t="shared" si="19"/>
        <v>287859575.96000004</v>
      </c>
      <c r="S42" s="25">
        <f t="shared" si="19"/>
        <v>316645533.55600005</v>
      </c>
      <c r="T42" s="25">
        <f t="shared" si="19"/>
        <v>348310086.91160005</v>
      </c>
      <c r="U42" s="25">
        <f t="shared" si="19"/>
        <v>383141095.60276014</v>
      </c>
      <c r="V42" s="25">
        <f t="shared" si="19"/>
        <v>421455205.16303617</v>
      </c>
      <c r="W42" s="25">
        <f t="shared" si="19"/>
        <v>463600725.67933983</v>
      </c>
      <c r="X42" s="25">
        <f t="shared" si="19"/>
        <v>509960798.24727386</v>
      </c>
    </row>
    <row r="43" spans="1:24" s="1" customFormat="1" x14ac:dyDescent="0.2">
      <c r="B43" s="31" t="s">
        <v>18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2">
        <f>O38/O42</f>
        <v>1.486643520983001E-2</v>
      </c>
      <c r="P43" s="42">
        <f t="shared" ref="P43:X43" si="20">P38/P42</f>
        <v>1.6893676374806828E-2</v>
      </c>
      <c r="Q43" s="42">
        <f t="shared" si="20"/>
        <v>1.919735951682594E-2</v>
      </c>
      <c r="R43" s="42">
        <f t="shared" si="20"/>
        <v>2.1815181269120385E-2</v>
      </c>
      <c r="S43" s="42">
        <f t="shared" si="20"/>
        <v>2.4789978714909528E-2</v>
      </c>
      <c r="T43" s="42">
        <f t="shared" si="20"/>
        <v>2.8170430357851734E-2</v>
      </c>
      <c r="U43" s="42">
        <f t="shared" si="20"/>
        <v>3.2011852679376965E-2</v>
      </c>
      <c r="V43" s="42">
        <f t="shared" si="20"/>
        <v>3.6377105317473825E-2</v>
      </c>
      <c r="W43" s="42">
        <f t="shared" si="20"/>
        <v>4.1337619678947529E-2</v>
      </c>
      <c r="X43" s="42">
        <f t="shared" si="20"/>
        <v>4.6974567816985821E-2</v>
      </c>
    </row>
    <row r="44" spans="1:24" s="2" customFormat="1" ht="15" x14ac:dyDescent="0.2">
      <c r="A44" s="2">
        <v>7</v>
      </c>
      <c r="B44" s="2" t="s">
        <v>66</v>
      </c>
      <c r="C44" s="11">
        <v>1382634.6031746031</v>
      </c>
      <c r="D44" s="11">
        <v>1399927.9916025193</v>
      </c>
      <c r="E44" s="11">
        <v>984929</v>
      </c>
      <c r="F44" s="11">
        <v>967981.24783362215</v>
      </c>
      <c r="G44" s="11">
        <v>877508.76466528641</v>
      </c>
      <c r="H44" s="11">
        <v>1228426.3356164384</v>
      </c>
      <c r="I44" s="11">
        <v>1300000</v>
      </c>
      <c r="J44" s="11">
        <v>1400000</v>
      </c>
      <c r="K44" s="11">
        <v>1400000</v>
      </c>
      <c r="L44" s="11">
        <v>1400000</v>
      </c>
      <c r="M44" s="11">
        <v>1400000</v>
      </c>
      <c r="N44" s="11">
        <v>1400000</v>
      </c>
      <c r="O44" s="22">
        <f>SUM(C44:N44)</f>
        <v>15141407.942892469</v>
      </c>
      <c r="P44" s="22">
        <f>O44*(1+P45)</f>
        <v>16655548.737181718</v>
      </c>
      <c r="Q44" s="22">
        <f t="shared" ref="Q44:X44" si="21">P44*(1+Q45)</f>
        <v>18321103.610899892</v>
      </c>
      <c r="R44" s="22">
        <f t="shared" si="21"/>
        <v>20153213.971989881</v>
      </c>
      <c r="S44" s="22">
        <f t="shared" si="21"/>
        <v>23176196.067788363</v>
      </c>
      <c r="T44" s="22">
        <f t="shared" si="21"/>
        <v>26652625.477956615</v>
      </c>
      <c r="U44" s="22">
        <f t="shared" si="21"/>
        <v>30650519.299650107</v>
      </c>
      <c r="V44" s="22">
        <f t="shared" si="21"/>
        <v>35248097.194597617</v>
      </c>
      <c r="W44" s="22">
        <f t="shared" si="21"/>
        <v>40535311.773787253</v>
      </c>
      <c r="X44" s="22">
        <f t="shared" si="21"/>
        <v>46615608.539855339</v>
      </c>
    </row>
    <row r="45" spans="1:24" s="32" customFormat="1" x14ac:dyDescent="0.2">
      <c r="B45" s="33" t="s">
        <v>25</v>
      </c>
      <c r="P45" s="34">
        <v>0.1</v>
      </c>
      <c r="Q45" s="34">
        <v>0.1</v>
      </c>
      <c r="R45" s="34">
        <v>0.1</v>
      </c>
      <c r="S45" s="34">
        <v>0.15</v>
      </c>
      <c r="T45" s="34">
        <v>0.15</v>
      </c>
      <c r="U45" s="34">
        <v>0.15</v>
      </c>
      <c r="V45" s="34">
        <v>0.15</v>
      </c>
      <c r="W45" s="34">
        <v>0.15</v>
      </c>
      <c r="X45" s="34">
        <v>0.15</v>
      </c>
    </row>
    <row r="46" spans="1:24" s="1" customFormat="1" x14ac:dyDescent="0.2">
      <c r="B46" s="31" t="s">
        <v>16</v>
      </c>
      <c r="C46" s="15">
        <v>15141000</v>
      </c>
      <c r="D46" s="15">
        <v>15141000</v>
      </c>
      <c r="E46" s="15">
        <v>15141000</v>
      </c>
      <c r="F46" s="15">
        <v>15141000</v>
      </c>
      <c r="G46" s="15">
        <v>15141000</v>
      </c>
      <c r="H46" s="15">
        <v>15141000</v>
      </c>
      <c r="I46" s="15">
        <v>15141000</v>
      </c>
      <c r="J46" s="15">
        <v>15141000</v>
      </c>
      <c r="K46" s="15">
        <v>15141000</v>
      </c>
      <c r="L46" s="15">
        <v>15141000</v>
      </c>
      <c r="M46" s="15">
        <v>15141000</v>
      </c>
      <c r="N46" s="15">
        <v>15141000</v>
      </c>
      <c r="O46" s="15">
        <v>15141000</v>
      </c>
      <c r="P46" s="15">
        <v>15141000</v>
      </c>
      <c r="Q46" s="15">
        <v>15141000</v>
      </c>
      <c r="R46" s="15">
        <v>15141000</v>
      </c>
      <c r="S46" s="15">
        <v>15141000</v>
      </c>
      <c r="T46" s="15">
        <v>15141000</v>
      </c>
      <c r="U46" s="15">
        <v>15141000</v>
      </c>
      <c r="V46" s="15">
        <v>15141000</v>
      </c>
      <c r="W46" s="15">
        <v>15141000</v>
      </c>
      <c r="X46" s="15">
        <v>15141000</v>
      </c>
    </row>
    <row r="47" spans="1:24" s="1" customFormat="1" x14ac:dyDescent="0.2">
      <c r="B47" s="31" t="s">
        <v>19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">
        <v>20</v>
      </c>
      <c r="P47" s="45">
        <f>O47*1.11</f>
        <v>22.200000000000003</v>
      </c>
      <c r="Q47" s="45">
        <f t="shared" ref="Q47:X47" si="22">P47*1.11</f>
        <v>24.642000000000007</v>
      </c>
      <c r="R47" s="45">
        <f t="shared" si="22"/>
        <v>27.352620000000009</v>
      </c>
      <c r="S47" s="45">
        <f t="shared" si="22"/>
        <v>30.361408200000014</v>
      </c>
      <c r="T47" s="45">
        <f t="shared" si="22"/>
        <v>33.701163102000017</v>
      </c>
      <c r="U47" s="45">
        <f t="shared" si="22"/>
        <v>37.408291043220025</v>
      </c>
      <c r="V47" s="45">
        <f t="shared" si="22"/>
        <v>41.523203057974229</v>
      </c>
      <c r="W47" s="45">
        <f t="shared" si="22"/>
        <v>46.090755394351397</v>
      </c>
      <c r="X47" s="45">
        <f t="shared" si="22"/>
        <v>51.160738487730057</v>
      </c>
    </row>
    <row r="48" spans="1:24" s="1" customFormat="1" x14ac:dyDescent="0.2">
      <c r="B48" s="31" t="s">
        <v>17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5">
        <f>O46*O47</f>
        <v>302820000</v>
      </c>
      <c r="P48" s="25">
        <f t="shared" ref="P48:X48" si="23">P46*P47</f>
        <v>336130200.00000006</v>
      </c>
      <c r="Q48" s="25">
        <f t="shared" si="23"/>
        <v>373104522.00000012</v>
      </c>
      <c r="R48" s="25">
        <f t="shared" si="23"/>
        <v>414146019.42000014</v>
      </c>
      <c r="S48" s="25">
        <f t="shared" si="23"/>
        <v>459702081.55620021</v>
      </c>
      <c r="T48" s="25">
        <f t="shared" si="23"/>
        <v>510269310.52738225</v>
      </c>
      <c r="U48" s="25">
        <f t="shared" si="23"/>
        <v>566398934.68539441</v>
      </c>
      <c r="V48" s="25">
        <f t="shared" si="23"/>
        <v>628702817.50078785</v>
      </c>
      <c r="W48" s="25">
        <f t="shared" si="23"/>
        <v>697860127.42587447</v>
      </c>
      <c r="X48" s="25">
        <f t="shared" si="23"/>
        <v>774624741.44272077</v>
      </c>
    </row>
    <row r="49" spans="1:24" s="1" customFormat="1" x14ac:dyDescent="0.2">
      <c r="B49" s="31" t="s">
        <v>18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42">
        <f>O44/O48</f>
        <v>5.0001347146464793E-2</v>
      </c>
      <c r="P49" s="42">
        <f t="shared" ref="P49:X49" si="24">P44/P48</f>
        <v>4.9550884559559701E-2</v>
      </c>
      <c r="Q49" s="42">
        <f t="shared" si="24"/>
        <v>4.9104480194158265E-2</v>
      </c>
      <c r="R49" s="42">
        <f t="shared" si="24"/>
        <v>4.8662097489706388E-2</v>
      </c>
      <c r="S49" s="42">
        <f t="shared" si="24"/>
        <v>5.0415686588434538E-2</v>
      </c>
      <c r="T49" s="42">
        <f t="shared" si="24"/>
        <v>5.223246808711686E-2</v>
      </c>
      <c r="U49" s="42">
        <f t="shared" si="24"/>
        <v>5.4114719189355294E-2</v>
      </c>
      <c r="V49" s="42">
        <f t="shared" si="24"/>
        <v>5.6064799160142856E-2</v>
      </c>
      <c r="W49" s="42">
        <f t="shared" si="24"/>
        <v>5.8085152283030878E-2</v>
      </c>
      <c r="X49" s="42">
        <f t="shared" si="24"/>
        <v>6.0178310923860813E-2</v>
      </c>
    </row>
    <row r="50" spans="1:24" s="2" customFormat="1" ht="15" x14ac:dyDescent="0.2">
      <c r="A50" s="2">
        <v>8</v>
      </c>
      <c r="B50" s="2" t="s">
        <v>52</v>
      </c>
      <c r="C50" s="11">
        <v>264980</v>
      </c>
      <c r="D50" s="11">
        <v>257089</v>
      </c>
      <c r="E50" s="11">
        <v>250082</v>
      </c>
      <c r="F50" s="11">
        <v>229950.15597920277</v>
      </c>
      <c r="G50" s="11">
        <v>230300.8281573499</v>
      </c>
      <c r="H50" s="11">
        <v>217724.07534246575</v>
      </c>
      <c r="I50" s="11">
        <v>230000</v>
      </c>
      <c r="J50" s="11">
        <v>250000</v>
      </c>
      <c r="K50" s="11">
        <v>250000</v>
      </c>
      <c r="L50" s="11">
        <v>250000</v>
      </c>
      <c r="M50" s="11">
        <v>250000</v>
      </c>
      <c r="N50" s="11">
        <v>250000</v>
      </c>
      <c r="O50" s="22">
        <f>SUM(C50:N50)</f>
        <v>2930126.0594790187</v>
      </c>
      <c r="P50" s="22">
        <f>O50*(1+P51)</f>
        <v>3516151.2713748221</v>
      </c>
      <c r="Q50" s="22">
        <f t="shared" ref="Q50:X50" si="25">P50*(1+Q51)</f>
        <v>4219381.525649786</v>
      </c>
      <c r="R50" s="22">
        <f t="shared" si="25"/>
        <v>5063257.8307797434</v>
      </c>
      <c r="S50" s="22">
        <f t="shared" si="25"/>
        <v>6075909.3969356921</v>
      </c>
      <c r="T50" s="22">
        <f t="shared" si="25"/>
        <v>7291091.2763228305</v>
      </c>
      <c r="U50" s="22">
        <f t="shared" si="25"/>
        <v>8749309.5315873958</v>
      </c>
      <c r="V50" s="22">
        <f t="shared" si="25"/>
        <v>10499171.437904874</v>
      </c>
      <c r="W50" s="22">
        <f t="shared" si="25"/>
        <v>12599005.725485848</v>
      </c>
      <c r="X50" s="22">
        <f t="shared" si="25"/>
        <v>15118806.870583016</v>
      </c>
    </row>
    <row r="51" spans="1:24" s="32" customFormat="1" x14ac:dyDescent="0.2">
      <c r="B51" s="33" t="s">
        <v>25</v>
      </c>
      <c r="P51" s="34">
        <v>0.2</v>
      </c>
      <c r="Q51" s="34">
        <v>0.2</v>
      </c>
      <c r="R51" s="34">
        <v>0.2</v>
      </c>
      <c r="S51" s="34">
        <v>0.2</v>
      </c>
      <c r="T51" s="34">
        <v>0.2</v>
      </c>
      <c r="U51" s="34">
        <v>0.2</v>
      </c>
      <c r="V51" s="34">
        <v>0.2</v>
      </c>
      <c r="W51" s="34">
        <v>0.2</v>
      </c>
      <c r="X51" s="34">
        <v>0.2</v>
      </c>
    </row>
    <row r="52" spans="1:24" s="1" customFormat="1" x14ac:dyDescent="0.2">
      <c r="B52" s="31" t="s">
        <v>16</v>
      </c>
      <c r="C52" s="15">
        <v>3618300</v>
      </c>
      <c r="D52" s="15">
        <v>3618300</v>
      </c>
      <c r="E52" s="15">
        <v>3618300</v>
      </c>
      <c r="F52" s="15">
        <v>3618300</v>
      </c>
      <c r="G52" s="15">
        <v>3618300</v>
      </c>
      <c r="H52" s="15">
        <v>3618300</v>
      </c>
      <c r="I52" s="15">
        <v>3618300</v>
      </c>
      <c r="J52" s="15">
        <v>3618300</v>
      </c>
      <c r="K52" s="15">
        <v>3618300</v>
      </c>
      <c r="L52" s="15">
        <v>3618300</v>
      </c>
      <c r="M52" s="15">
        <v>3618300</v>
      </c>
      <c r="N52" s="15">
        <v>3618300</v>
      </c>
      <c r="O52" s="15">
        <v>3618300</v>
      </c>
      <c r="P52" s="15">
        <v>3618300</v>
      </c>
      <c r="Q52" s="15">
        <v>3618300</v>
      </c>
      <c r="R52" s="15">
        <v>3618300</v>
      </c>
      <c r="S52" s="15">
        <v>3618300</v>
      </c>
      <c r="T52" s="15">
        <v>3618300</v>
      </c>
      <c r="U52" s="15">
        <v>3618300</v>
      </c>
      <c r="V52" s="15">
        <v>3618300</v>
      </c>
      <c r="W52" s="15">
        <v>3618300</v>
      </c>
      <c r="X52" s="15">
        <v>3618300</v>
      </c>
    </row>
    <row r="53" spans="1:24" s="1" customFormat="1" x14ac:dyDescent="0.2">
      <c r="B53" s="31" t="s">
        <v>19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">
        <v>8</v>
      </c>
      <c r="P53" s="45">
        <f>1.1*O53</f>
        <v>8.8000000000000007</v>
      </c>
      <c r="Q53" s="45">
        <f t="shared" ref="Q53:X53" si="26">1.1*P53</f>
        <v>9.6800000000000015</v>
      </c>
      <c r="R53" s="45">
        <f t="shared" si="26"/>
        <v>10.648000000000003</v>
      </c>
      <c r="S53" s="45">
        <f t="shared" si="26"/>
        <v>11.712800000000005</v>
      </c>
      <c r="T53" s="45">
        <f t="shared" si="26"/>
        <v>12.884080000000006</v>
      </c>
      <c r="U53" s="45">
        <f t="shared" si="26"/>
        <v>14.172488000000008</v>
      </c>
      <c r="V53" s="45">
        <f t="shared" si="26"/>
        <v>15.589736800000011</v>
      </c>
      <c r="W53" s="45">
        <f t="shared" si="26"/>
        <v>17.148710480000013</v>
      </c>
      <c r="X53" s="45">
        <f t="shared" si="26"/>
        <v>18.863581528000015</v>
      </c>
    </row>
    <row r="54" spans="1:24" s="1" customFormat="1" x14ac:dyDescent="0.2">
      <c r="B54" s="31" t="s">
        <v>17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5">
        <f>O52*O53</f>
        <v>28946400</v>
      </c>
      <c r="P54" s="25">
        <f t="shared" ref="P54:X54" si="27">P52*P53</f>
        <v>31841040.000000004</v>
      </c>
      <c r="Q54" s="25">
        <f t="shared" si="27"/>
        <v>35025144.000000007</v>
      </c>
      <c r="R54" s="25">
        <f t="shared" si="27"/>
        <v>38527658.400000013</v>
      </c>
      <c r="S54" s="25">
        <f t="shared" si="27"/>
        <v>42380424.240000017</v>
      </c>
      <c r="T54" s="25">
        <f t="shared" si="27"/>
        <v>46618466.664000019</v>
      </c>
      <c r="U54" s="25">
        <f t="shared" si="27"/>
        <v>51280313.330400027</v>
      </c>
      <c r="V54" s="25">
        <f t="shared" si="27"/>
        <v>56408344.663440041</v>
      </c>
      <c r="W54" s="25">
        <f t="shared" si="27"/>
        <v>62049179.129784048</v>
      </c>
      <c r="X54" s="25">
        <f t="shared" si="27"/>
        <v>68254097.042762458</v>
      </c>
    </row>
    <row r="55" spans="1:24" s="1" customFormat="1" x14ac:dyDescent="0.2">
      <c r="B55" s="31" t="s">
        <v>18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42">
        <f>O52/O54</f>
        <v>0.125</v>
      </c>
      <c r="P55" s="42">
        <f t="shared" ref="P55:X55" si="28">P52/P54</f>
        <v>0.11363636363636362</v>
      </c>
      <c r="Q55" s="42">
        <f t="shared" si="28"/>
        <v>0.10330578512396692</v>
      </c>
      <c r="R55" s="42">
        <f t="shared" si="28"/>
        <v>9.3914350112697192E-2</v>
      </c>
      <c r="S55" s="42">
        <f t="shared" si="28"/>
        <v>8.5376681920633801E-2</v>
      </c>
      <c r="T55" s="42">
        <f t="shared" si="28"/>
        <v>7.7615165382394366E-2</v>
      </c>
      <c r="U55" s="42">
        <f t="shared" si="28"/>
        <v>7.0559241256722138E-2</v>
      </c>
      <c r="V55" s="42">
        <f t="shared" si="28"/>
        <v>6.4144764778838292E-2</v>
      </c>
      <c r="W55" s="42">
        <f t="shared" si="28"/>
        <v>5.8313422526216629E-2</v>
      </c>
      <c r="X55" s="42">
        <f t="shared" si="28"/>
        <v>5.3012202296560569E-2</v>
      </c>
    </row>
    <row r="56" spans="1:24" s="2" customFormat="1" ht="15" x14ac:dyDescent="0.2">
      <c r="A56" s="2">
        <v>9</v>
      </c>
      <c r="B56" s="2" t="s">
        <v>53</v>
      </c>
      <c r="C56" s="11">
        <v>314405</v>
      </c>
      <c r="D56" s="11">
        <v>130743</v>
      </c>
      <c r="E56" s="11">
        <v>129154</v>
      </c>
      <c r="F56" s="11">
        <v>91527.694974003462</v>
      </c>
      <c r="G56" s="11">
        <v>105172.70531400965</v>
      </c>
      <c r="H56" s="11">
        <v>86272.910958904118</v>
      </c>
      <c r="I56" s="11">
        <v>150000</v>
      </c>
      <c r="J56" s="11">
        <v>200000</v>
      </c>
      <c r="K56" s="11">
        <v>250000</v>
      </c>
      <c r="L56" s="11">
        <v>300000</v>
      </c>
      <c r="M56" s="11">
        <v>300000</v>
      </c>
      <c r="N56" s="11">
        <v>300000</v>
      </c>
      <c r="O56" s="22">
        <f>SUM(C56:N56)</f>
        <v>2357275.3112469171</v>
      </c>
      <c r="P56" s="22">
        <f>O56*(1+P57)</f>
        <v>3064457.9046209925</v>
      </c>
      <c r="Q56" s="22">
        <f t="shared" ref="Q56:X56" si="29">P56*(1+Q57)</f>
        <v>3830572.3807762405</v>
      </c>
      <c r="R56" s="22">
        <f t="shared" si="29"/>
        <v>4788215.4759703008</v>
      </c>
      <c r="S56" s="22">
        <f t="shared" si="29"/>
        <v>5985269.3449628763</v>
      </c>
      <c r="T56" s="22">
        <f t="shared" si="29"/>
        <v>7481586.6812035954</v>
      </c>
      <c r="U56" s="22">
        <f t="shared" si="29"/>
        <v>9351983.3515044935</v>
      </c>
      <c r="V56" s="22">
        <f t="shared" si="29"/>
        <v>11689979.189380616</v>
      </c>
      <c r="W56" s="22">
        <f t="shared" si="29"/>
        <v>14612473.98672577</v>
      </c>
      <c r="X56" s="22">
        <f t="shared" si="29"/>
        <v>18265592.483407214</v>
      </c>
    </row>
    <row r="57" spans="1:24" s="32" customFormat="1" x14ac:dyDescent="0.2">
      <c r="B57" s="33" t="s">
        <v>25</v>
      </c>
      <c r="P57" s="34">
        <v>0.3</v>
      </c>
      <c r="Q57" s="34">
        <v>0.25</v>
      </c>
      <c r="R57" s="34">
        <v>0.25</v>
      </c>
      <c r="S57" s="34">
        <v>0.25</v>
      </c>
      <c r="T57" s="34">
        <v>0.25</v>
      </c>
      <c r="U57" s="34">
        <v>0.25</v>
      </c>
      <c r="V57" s="34">
        <v>0.25</v>
      </c>
      <c r="W57" s="34">
        <v>0.25</v>
      </c>
      <c r="X57" s="34">
        <v>0.25</v>
      </c>
    </row>
    <row r="58" spans="1:24" s="1" customFormat="1" x14ac:dyDescent="0.2">
      <c r="B58" s="31" t="s">
        <v>16</v>
      </c>
      <c r="C58" s="15">
        <v>3638000</v>
      </c>
      <c r="D58" s="15">
        <v>3638000</v>
      </c>
      <c r="E58" s="15">
        <v>3638000</v>
      </c>
      <c r="F58" s="15">
        <v>3638000</v>
      </c>
      <c r="G58" s="15">
        <v>3638000</v>
      </c>
      <c r="H58" s="15">
        <v>3638000</v>
      </c>
      <c r="I58" s="15">
        <v>3638000</v>
      </c>
      <c r="J58" s="15">
        <v>3638000</v>
      </c>
      <c r="K58" s="15">
        <v>3638000</v>
      </c>
      <c r="L58" s="15">
        <v>3638000</v>
      </c>
      <c r="M58" s="15">
        <v>3638000</v>
      </c>
      <c r="N58" s="15">
        <v>3638000</v>
      </c>
      <c r="O58" s="15">
        <v>3638000</v>
      </c>
      <c r="P58" s="15">
        <v>3638000</v>
      </c>
      <c r="Q58" s="15">
        <v>3638000</v>
      </c>
      <c r="R58" s="15">
        <v>3638000</v>
      </c>
      <c r="S58" s="15">
        <v>3638000</v>
      </c>
      <c r="T58" s="15">
        <v>3638000</v>
      </c>
      <c r="U58" s="15">
        <v>3638000</v>
      </c>
      <c r="V58" s="15">
        <v>3638000</v>
      </c>
      <c r="W58" s="15">
        <v>3638000</v>
      </c>
      <c r="X58" s="15">
        <v>3638000</v>
      </c>
    </row>
    <row r="59" spans="1:24" s="1" customFormat="1" x14ac:dyDescent="0.2">
      <c r="B59" s="31" t="s">
        <v>19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">
        <v>18</v>
      </c>
      <c r="P59" s="45">
        <f>1.1*O59</f>
        <v>19.8</v>
      </c>
      <c r="Q59" s="45">
        <f t="shared" ref="Q59:X59" si="30">1.1*P59</f>
        <v>21.78</v>
      </c>
      <c r="R59" s="45">
        <f t="shared" si="30"/>
        <v>23.958000000000002</v>
      </c>
      <c r="S59" s="45">
        <f t="shared" si="30"/>
        <v>26.353800000000003</v>
      </c>
      <c r="T59" s="45">
        <f t="shared" si="30"/>
        <v>28.989180000000005</v>
      </c>
      <c r="U59" s="45">
        <f t="shared" si="30"/>
        <v>31.888098000000006</v>
      </c>
      <c r="V59" s="45">
        <f t="shared" si="30"/>
        <v>35.076907800000008</v>
      </c>
      <c r="W59" s="45">
        <f t="shared" si="30"/>
        <v>38.584598580000012</v>
      </c>
      <c r="X59" s="45">
        <f t="shared" si="30"/>
        <v>42.443058438000016</v>
      </c>
    </row>
    <row r="60" spans="1:24" s="1" customFormat="1" x14ac:dyDescent="0.2">
      <c r="B60" s="31" t="s">
        <v>17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25">
        <f>O58*O59</f>
        <v>65484000</v>
      </c>
      <c r="P60" s="25">
        <f t="shared" ref="P60:X60" si="31">P58*P59</f>
        <v>72032400</v>
      </c>
      <c r="Q60" s="25">
        <f t="shared" si="31"/>
        <v>79235640</v>
      </c>
      <c r="R60" s="25">
        <f t="shared" si="31"/>
        <v>87159204</v>
      </c>
      <c r="S60" s="25">
        <f t="shared" si="31"/>
        <v>95875124.400000006</v>
      </c>
      <c r="T60" s="25">
        <f t="shared" si="31"/>
        <v>105462636.84000002</v>
      </c>
      <c r="U60" s="25">
        <f t="shared" si="31"/>
        <v>116008900.52400002</v>
      </c>
      <c r="V60" s="25">
        <f t="shared" si="31"/>
        <v>127609790.57640003</v>
      </c>
      <c r="W60" s="25">
        <f t="shared" si="31"/>
        <v>140370769.63404006</v>
      </c>
      <c r="X60" s="25">
        <f t="shared" si="31"/>
        <v>154407846.59744406</v>
      </c>
    </row>
    <row r="61" spans="1:24" s="1" customFormat="1" x14ac:dyDescent="0.2">
      <c r="B61" s="31" t="s">
        <v>18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42">
        <f>O56/O60</f>
        <v>3.5997729388047725E-2</v>
      </c>
      <c r="P61" s="42">
        <f t="shared" ref="P61:X61" si="32">P56/P60</f>
        <v>4.2542771094965494E-2</v>
      </c>
      <c r="Q61" s="42">
        <f t="shared" si="32"/>
        <v>4.8344058062460789E-2</v>
      </c>
      <c r="R61" s="42">
        <f t="shared" si="32"/>
        <v>5.4936429616432719E-2</v>
      </c>
      <c r="S61" s="42">
        <f t="shared" si="32"/>
        <v>6.2427760927764447E-2</v>
      </c>
      <c r="T61" s="42">
        <f t="shared" si="32"/>
        <v>7.0940637417914135E-2</v>
      </c>
      <c r="U61" s="42">
        <f t="shared" si="32"/>
        <v>8.0614360702175147E-2</v>
      </c>
      <c r="V61" s="42">
        <f t="shared" si="32"/>
        <v>9.1607228070653565E-2</v>
      </c>
      <c r="W61" s="42">
        <f t="shared" si="32"/>
        <v>0.10409912280756085</v>
      </c>
      <c r="X61" s="42">
        <f t="shared" si="32"/>
        <v>0.11829445773586462</v>
      </c>
    </row>
    <row r="62" spans="1:24" s="2" customFormat="1" ht="15" x14ac:dyDescent="0.2">
      <c r="A62" s="2">
        <v>10</v>
      </c>
      <c r="B62" s="2" t="s">
        <v>54</v>
      </c>
      <c r="C62" s="11">
        <v>201703</v>
      </c>
      <c r="D62" s="11">
        <v>175457.73268019594</v>
      </c>
      <c r="E62" s="11">
        <v>153097.49478079332</v>
      </c>
      <c r="F62" s="11">
        <v>145462.39168110918</v>
      </c>
      <c r="G62" s="11">
        <v>172395.23809523811</v>
      </c>
      <c r="H62" s="11">
        <v>195394.14383561644</v>
      </c>
      <c r="I62" s="11">
        <v>200000</v>
      </c>
      <c r="J62" s="11">
        <v>250000</v>
      </c>
      <c r="K62" s="11">
        <v>250000</v>
      </c>
      <c r="L62" s="11">
        <v>250000</v>
      </c>
      <c r="M62" s="11">
        <v>250000</v>
      </c>
      <c r="N62" s="11">
        <v>250000</v>
      </c>
      <c r="O62" s="22">
        <f>SUM(C62:N62)</f>
        <v>2493510.001072953</v>
      </c>
      <c r="P62" s="22">
        <f>O62*(1+P63)</f>
        <v>2992212.0012875437</v>
      </c>
      <c r="Q62" s="22">
        <f t="shared" ref="Q62:X62" si="33">P62*(1+Q63)</f>
        <v>3590654.4015450524</v>
      </c>
      <c r="R62" s="22">
        <f t="shared" si="33"/>
        <v>4308785.2818540623</v>
      </c>
      <c r="S62" s="22">
        <f t="shared" si="33"/>
        <v>5170542.3382248748</v>
      </c>
      <c r="T62" s="22">
        <f t="shared" si="33"/>
        <v>6204650.8058698494</v>
      </c>
      <c r="U62" s="22">
        <f t="shared" si="33"/>
        <v>7445580.9670438189</v>
      </c>
      <c r="V62" s="22">
        <f t="shared" si="33"/>
        <v>8934697.1604525819</v>
      </c>
      <c r="W62" s="22">
        <f t="shared" si="33"/>
        <v>10721636.592543097</v>
      </c>
      <c r="X62" s="22">
        <f t="shared" si="33"/>
        <v>12865963.911051717</v>
      </c>
    </row>
    <row r="63" spans="1:24" s="2" customFormat="1" ht="15" x14ac:dyDescent="0.2">
      <c r="A63" s="35"/>
      <c r="B63" s="36" t="s">
        <v>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7">
        <v>0.2</v>
      </c>
      <c r="Q63" s="37">
        <v>0.2</v>
      </c>
      <c r="R63" s="37">
        <v>0.2</v>
      </c>
      <c r="S63" s="37">
        <v>0.2</v>
      </c>
      <c r="T63" s="37">
        <v>0.2</v>
      </c>
      <c r="U63" s="37">
        <v>0.2</v>
      </c>
      <c r="V63" s="37">
        <v>0.2</v>
      </c>
      <c r="W63" s="37">
        <v>0.2</v>
      </c>
      <c r="X63" s="37">
        <v>0.2</v>
      </c>
    </row>
    <row r="64" spans="1:24" s="1" customFormat="1" x14ac:dyDescent="0.2">
      <c r="B64" s="31" t="s">
        <v>16</v>
      </c>
      <c r="C64" s="15">
        <v>5979300</v>
      </c>
      <c r="D64" s="15">
        <v>5979300</v>
      </c>
      <c r="E64" s="15">
        <v>5979300</v>
      </c>
      <c r="F64" s="15">
        <v>5979300</v>
      </c>
      <c r="G64" s="15">
        <v>5979300</v>
      </c>
      <c r="H64" s="15">
        <v>5979300</v>
      </c>
      <c r="I64" s="15">
        <v>5979300</v>
      </c>
      <c r="J64" s="15">
        <v>5979300</v>
      </c>
      <c r="K64" s="15">
        <v>5979300</v>
      </c>
      <c r="L64" s="15">
        <v>5979300</v>
      </c>
      <c r="M64" s="15">
        <v>5979300</v>
      </c>
      <c r="N64" s="15">
        <v>5979300</v>
      </c>
      <c r="O64" s="15">
        <v>5979300</v>
      </c>
      <c r="P64" s="15">
        <v>5979300</v>
      </c>
      <c r="Q64" s="15">
        <v>5979300</v>
      </c>
      <c r="R64" s="15">
        <v>5979300</v>
      </c>
      <c r="S64" s="15">
        <v>5979300</v>
      </c>
      <c r="T64" s="15">
        <v>5979300</v>
      </c>
      <c r="U64" s="15">
        <v>5979300</v>
      </c>
      <c r="V64" s="15">
        <v>5979300</v>
      </c>
      <c r="W64" s="15">
        <v>5979300</v>
      </c>
      <c r="X64" s="15">
        <v>5979300</v>
      </c>
    </row>
    <row r="65" spans="1:24" s="1" customFormat="1" x14ac:dyDescent="0.2">
      <c r="B65" s="31" t="s">
        <v>19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">
        <v>8</v>
      </c>
      <c r="P65" s="45">
        <f>1.15*O65</f>
        <v>9.1999999999999993</v>
      </c>
      <c r="Q65" s="45">
        <f t="shared" ref="Q65:X65" si="34">1.15*P65</f>
        <v>10.579999999999998</v>
      </c>
      <c r="R65" s="45">
        <f t="shared" si="34"/>
        <v>12.166999999999996</v>
      </c>
      <c r="S65" s="45">
        <f t="shared" si="34"/>
        <v>13.992049999999995</v>
      </c>
      <c r="T65" s="45">
        <f t="shared" si="34"/>
        <v>16.090857499999995</v>
      </c>
      <c r="U65" s="45">
        <f t="shared" si="34"/>
        <v>18.504486124999993</v>
      </c>
      <c r="V65" s="45">
        <f t="shared" si="34"/>
        <v>21.28015904374999</v>
      </c>
      <c r="W65" s="45">
        <f t="shared" si="34"/>
        <v>24.472182900312486</v>
      </c>
      <c r="X65" s="45">
        <f t="shared" si="34"/>
        <v>28.143010335359357</v>
      </c>
    </row>
    <row r="66" spans="1:24" s="1" customFormat="1" x14ac:dyDescent="0.2">
      <c r="B66" s="31" t="s">
        <v>17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25">
        <f>O64*O65</f>
        <v>47834400</v>
      </c>
      <c r="P66" s="25">
        <f t="shared" ref="P66:X66" si="35">P64*P65</f>
        <v>55009559.999999993</v>
      </c>
      <c r="Q66" s="25">
        <f t="shared" si="35"/>
        <v>63260993.999999993</v>
      </c>
      <c r="R66" s="25">
        <f t="shared" si="35"/>
        <v>72750143.099999979</v>
      </c>
      <c r="S66" s="25">
        <f t="shared" si="35"/>
        <v>83662664.564999968</v>
      </c>
      <c r="T66" s="25">
        <f t="shared" si="35"/>
        <v>96212064.249749973</v>
      </c>
      <c r="U66" s="25">
        <f t="shared" si="35"/>
        <v>110643873.88721246</v>
      </c>
      <c r="V66" s="25">
        <f t="shared" si="35"/>
        <v>127240454.97029431</v>
      </c>
      <c r="W66" s="25">
        <f t="shared" si="35"/>
        <v>146326523.21583846</v>
      </c>
      <c r="X66" s="25">
        <f t="shared" si="35"/>
        <v>168275501.6982142</v>
      </c>
    </row>
    <row r="67" spans="1:24" s="1" customFormat="1" x14ac:dyDescent="0.2">
      <c r="B67" s="31" t="s">
        <v>18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42">
        <f>O62/O66</f>
        <v>5.2127966506801654E-2</v>
      </c>
      <c r="P67" s="42">
        <f t="shared" ref="P67:X67" si="36">P62/P66</f>
        <v>5.4394399833184344E-2</v>
      </c>
      <c r="Q67" s="42">
        <f t="shared" si="36"/>
        <v>5.6759373738974966E-2</v>
      </c>
      <c r="R67" s="42">
        <f t="shared" si="36"/>
        <v>5.922717259719127E-2</v>
      </c>
      <c r="S67" s="42">
        <f t="shared" si="36"/>
        <v>6.1802267057938724E-2</v>
      </c>
      <c r="T67" s="42">
        <f t="shared" si="36"/>
        <v>6.4489322147414305E-2</v>
      </c>
      <c r="U67" s="42">
        <f t="shared" si="36"/>
        <v>6.729320571904103E-2</v>
      </c>
      <c r="V67" s="42">
        <f t="shared" si="36"/>
        <v>7.021899727204281E-2</v>
      </c>
      <c r="W67" s="42">
        <f t="shared" si="36"/>
        <v>7.3271997153435964E-2</v>
      </c>
      <c r="X67" s="42">
        <f t="shared" si="36"/>
        <v>7.6457736160107106E-2</v>
      </c>
    </row>
    <row r="68" spans="1:24" s="2" customFormat="1" ht="15" x14ac:dyDescent="0.2">
      <c r="A68" s="2">
        <v>11</v>
      </c>
      <c r="B68" s="2" t="s">
        <v>55</v>
      </c>
      <c r="C68" s="11">
        <v>208289</v>
      </c>
      <c r="D68" s="11">
        <v>183007</v>
      </c>
      <c r="E68" s="11">
        <v>174696.20737647879</v>
      </c>
      <c r="F68" s="11">
        <v>174690.88388214904</v>
      </c>
      <c r="G68" s="11">
        <v>192790.99378881988</v>
      </c>
      <c r="H68" s="11">
        <v>169220.03424657535</v>
      </c>
      <c r="I68" s="11">
        <v>190000</v>
      </c>
      <c r="J68" s="11">
        <v>200000</v>
      </c>
      <c r="K68" s="11">
        <v>220000</v>
      </c>
      <c r="L68" s="11">
        <v>220000</v>
      </c>
      <c r="M68" s="11">
        <v>220000</v>
      </c>
      <c r="N68" s="11">
        <v>220000</v>
      </c>
      <c r="O68" s="22">
        <f>SUM(C68:N68)</f>
        <v>2372694.1192940231</v>
      </c>
      <c r="P68" s="22">
        <f>O68*(1+P69)</f>
        <v>2728598.2371881264</v>
      </c>
      <c r="Q68" s="22">
        <f t="shared" ref="Q68:X68" si="37">P68*(1+Q69)</f>
        <v>3137887.9727663454</v>
      </c>
      <c r="R68" s="22">
        <f t="shared" si="37"/>
        <v>3608571.168681297</v>
      </c>
      <c r="S68" s="22">
        <f t="shared" si="37"/>
        <v>4149856.8439834914</v>
      </c>
      <c r="T68" s="22">
        <f t="shared" si="37"/>
        <v>4772335.370581015</v>
      </c>
      <c r="U68" s="22">
        <f t="shared" si="37"/>
        <v>5488185.676168167</v>
      </c>
      <c r="V68" s="22">
        <f t="shared" si="37"/>
        <v>6311413.5275933919</v>
      </c>
      <c r="W68" s="22">
        <f t="shared" si="37"/>
        <v>7258125.5567324003</v>
      </c>
      <c r="X68" s="22">
        <f t="shared" si="37"/>
        <v>8346844.3902422599</v>
      </c>
    </row>
    <row r="69" spans="1:24" s="2" customFormat="1" ht="15" x14ac:dyDescent="0.2">
      <c r="A69" s="35"/>
      <c r="B69" s="36" t="s">
        <v>25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7">
        <v>0.15</v>
      </c>
      <c r="Q69" s="37">
        <v>0.15</v>
      </c>
      <c r="R69" s="37">
        <v>0.15</v>
      </c>
      <c r="S69" s="37">
        <v>0.15</v>
      </c>
      <c r="T69" s="37">
        <v>0.15</v>
      </c>
      <c r="U69" s="37">
        <v>0.15</v>
      </c>
      <c r="V69" s="37">
        <v>0.15</v>
      </c>
      <c r="W69" s="37">
        <v>0.15</v>
      </c>
      <c r="X69" s="37">
        <v>0.15</v>
      </c>
    </row>
    <row r="70" spans="1:24" s="1" customFormat="1" x14ac:dyDescent="0.2">
      <c r="B70" s="31" t="s">
        <v>16</v>
      </c>
      <c r="C70" s="15">
        <v>3274600</v>
      </c>
      <c r="D70" s="15">
        <v>3274600</v>
      </c>
      <c r="E70" s="15">
        <v>3274600</v>
      </c>
      <c r="F70" s="15">
        <v>3274600</v>
      </c>
      <c r="G70" s="15">
        <v>3274600</v>
      </c>
      <c r="H70" s="15">
        <v>3274600</v>
      </c>
      <c r="I70" s="15">
        <v>3274600</v>
      </c>
      <c r="J70" s="15">
        <v>3274600</v>
      </c>
      <c r="K70" s="15">
        <v>3274600</v>
      </c>
      <c r="L70" s="15">
        <v>3274600</v>
      </c>
      <c r="M70" s="15">
        <v>3274600</v>
      </c>
      <c r="N70" s="15">
        <v>3274600</v>
      </c>
      <c r="O70" s="15">
        <v>3274600</v>
      </c>
      <c r="P70" s="15">
        <v>3274600</v>
      </c>
      <c r="Q70" s="15">
        <v>3274600</v>
      </c>
      <c r="R70" s="15">
        <v>3274600</v>
      </c>
      <c r="S70" s="15">
        <v>3274600</v>
      </c>
      <c r="T70" s="15">
        <v>3274600</v>
      </c>
      <c r="U70" s="15">
        <v>3274600</v>
      </c>
      <c r="V70" s="15">
        <v>3274600</v>
      </c>
      <c r="W70" s="15">
        <v>3274600</v>
      </c>
      <c r="X70" s="15">
        <v>3274600</v>
      </c>
    </row>
    <row r="71" spans="1:24" s="1" customFormat="1" x14ac:dyDescent="0.2">
      <c r="B71" s="31" t="s">
        <v>19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">
        <v>9</v>
      </c>
      <c r="P71" s="45">
        <f>1.1*O71</f>
        <v>9.9</v>
      </c>
      <c r="Q71" s="45">
        <f t="shared" ref="Q71:X71" si="38">1.1*P71</f>
        <v>10.89</v>
      </c>
      <c r="R71" s="45">
        <f t="shared" si="38"/>
        <v>11.979000000000001</v>
      </c>
      <c r="S71" s="45">
        <f t="shared" si="38"/>
        <v>13.176900000000002</v>
      </c>
      <c r="T71" s="45">
        <f t="shared" si="38"/>
        <v>14.494590000000002</v>
      </c>
      <c r="U71" s="45">
        <f t="shared" si="38"/>
        <v>15.944049000000003</v>
      </c>
      <c r="V71" s="45">
        <f t="shared" si="38"/>
        <v>17.538453900000004</v>
      </c>
      <c r="W71" s="45">
        <f t="shared" si="38"/>
        <v>19.292299290000006</v>
      </c>
      <c r="X71" s="45">
        <f t="shared" si="38"/>
        <v>21.221529219000008</v>
      </c>
    </row>
    <row r="72" spans="1:24" s="1" customFormat="1" x14ac:dyDescent="0.2">
      <c r="B72" s="31" t="s">
        <v>17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25">
        <f>O70*O71</f>
        <v>29471400</v>
      </c>
      <c r="P72" s="25">
        <f t="shared" ref="P72:X72" si="39">P70*P71</f>
        <v>32418540</v>
      </c>
      <c r="Q72" s="25">
        <f t="shared" si="39"/>
        <v>35660394</v>
      </c>
      <c r="R72" s="25">
        <f t="shared" si="39"/>
        <v>39226433.400000006</v>
      </c>
      <c r="S72" s="25">
        <f t="shared" si="39"/>
        <v>43149076.740000002</v>
      </c>
      <c r="T72" s="25">
        <f t="shared" si="39"/>
        <v>47463984.414000005</v>
      </c>
      <c r="U72" s="25">
        <f t="shared" si="39"/>
        <v>52210382.855400011</v>
      </c>
      <c r="V72" s="25">
        <f t="shared" si="39"/>
        <v>57431421.140940011</v>
      </c>
      <c r="W72" s="25">
        <f t="shared" si="39"/>
        <v>63174563.255034022</v>
      </c>
      <c r="X72" s="25">
        <f t="shared" si="39"/>
        <v>69492019.580537423</v>
      </c>
    </row>
    <row r="73" spans="1:24" s="1" customFormat="1" x14ac:dyDescent="0.2">
      <c r="B73" s="31" t="s">
        <v>18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42">
        <f>O68/O72</f>
        <v>8.0508361302619597E-2</v>
      </c>
      <c r="P73" s="42">
        <f t="shared" ref="P73:X73" si="40">P68/P72</f>
        <v>8.4167832270920478E-2</v>
      </c>
      <c r="Q73" s="42">
        <f t="shared" si="40"/>
        <v>8.7993642828689586E-2</v>
      </c>
      <c r="R73" s="42">
        <f t="shared" si="40"/>
        <v>9.1993353866357278E-2</v>
      </c>
      <c r="S73" s="42">
        <f t="shared" si="40"/>
        <v>9.6174869951191705E-2</v>
      </c>
      <c r="T73" s="42">
        <f t="shared" si="40"/>
        <v>0.10054645494897314</v>
      </c>
      <c r="U73" s="42">
        <f t="shared" si="40"/>
        <v>0.10511674835574464</v>
      </c>
      <c r="V73" s="42">
        <f t="shared" si="40"/>
        <v>0.10989478237191484</v>
      </c>
      <c r="W73" s="42">
        <f t="shared" si="40"/>
        <v>0.11488999975245641</v>
      </c>
      <c r="X73" s="42">
        <f t="shared" si="40"/>
        <v>0.12011227246847715</v>
      </c>
    </row>
    <row r="74" spans="1:24" s="2" customFormat="1" ht="15" x14ac:dyDescent="0.2">
      <c r="A74" s="2">
        <v>12</v>
      </c>
      <c r="B74" s="2" t="s">
        <v>56</v>
      </c>
      <c r="C74" s="11">
        <f>134201.26984127-4666</f>
        <v>129535.26984127</v>
      </c>
      <c r="D74" s="11">
        <v>187524.07277816656</v>
      </c>
      <c r="E74" s="11">
        <v>133357.96798886571</v>
      </c>
      <c r="F74" s="11">
        <v>170456.15251299826</v>
      </c>
      <c r="G74" s="11">
        <v>167354.34782608695</v>
      </c>
      <c r="H74" s="11">
        <v>154554.72602739726</v>
      </c>
      <c r="I74" s="11">
        <v>170000</v>
      </c>
      <c r="J74" s="11">
        <v>180000</v>
      </c>
      <c r="K74" s="11">
        <v>180000</v>
      </c>
      <c r="L74" s="11">
        <v>180000</v>
      </c>
      <c r="M74" s="11">
        <v>180000</v>
      </c>
      <c r="N74" s="11">
        <v>180000</v>
      </c>
      <c r="O74" s="22">
        <f>SUM(C74:N74)</f>
        <v>2012782.5369747847</v>
      </c>
      <c r="P74" s="22">
        <f>O74*(1+P75)</f>
        <v>2415339.0443697413</v>
      </c>
      <c r="Q74" s="22">
        <f t="shared" ref="Q74:X74" si="41">P74*(1+Q75)</f>
        <v>2898406.8532436895</v>
      </c>
      <c r="R74" s="22">
        <f t="shared" si="41"/>
        <v>3478088.2238924275</v>
      </c>
      <c r="S74" s="22">
        <f t="shared" si="41"/>
        <v>4173705.8686709129</v>
      </c>
      <c r="T74" s="22">
        <f t="shared" si="41"/>
        <v>5008447.042405095</v>
      </c>
      <c r="U74" s="22">
        <f t="shared" si="41"/>
        <v>6010136.4508861136</v>
      </c>
      <c r="V74" s="22">
        <f t="shared" si="41"/>
        <v>7212163.7410633359</v>
      </c>
      <c r="W74" s="22">
        <f t="shared" si="41"/>
        <v>8654596.4892760031</v>
      </c>
      <c r="X74" s="22">
        <f t="shared" si="41"/>
        <v>10385515.787131203</v>
      </c>
    </row>
    <row r="75" spans="1:24" s="2" customFormat="1" ht="15" x14ac:dyDescent="0.2">
      <c r="A75" s="35"/>
      <c r="B75" s="36" t="s">
        <v>25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7">
        <v>0.2</v>
      </c>
      <c r="Q75" s="37">
        <v>0.2</v>
      </c>
      <c r="R75" s="37">
        <v>0.2</v>
      </c>
      <c r="S75" s="37">
        <v>0.2</v>
      </c>
      <c r="T75" s="37">
        <v>0.2</v>
      </c>
      <c r="U75" s="37">
        <v>0.2</v>
      </c>
      <c r="V75" s="37">
        <v>0.2</v>
      </c>
      <c r="W75" s="37">
        <v>0.2</v>
      </c>
      <c r="X75" s="37">
        <v>0.2</v>
      </c>
    </row>
    <row r="76" spans="1:24" s="1" customFormat="1" x14ac:dyDescent="0.2">
      <c r="B76" s="31" t="s">
        <v>16</v>
      </c>
      <c r="C76" s="15">
        <v>3009400</v>
      </c>
      <c r="D76" s="15">
        <v>3009400</v>
      </c>
      <c r="E76" s="15">
        <v>3009400</v>
      </c>
      <c r="F76" s="15">
        <v>3009400</v>
      </c>
      <c r="G76" s="15">
        <v>3009400</v>
      </c>
      <c r="H76" s="15">
        <v>3009400</v>
      </c>
      <c r="I76" s="15">
        <v>3009400</v>
      </c>
      <c r="J76" s="15">
        <v>3009400</v>
      </c>
      <c r="K76" s="15">
        <v>3009400</v>
      </c>
      <c r="L76" s="15">
        <v>3009400</v>
      </c>
      <c r="M76" s="15">
        <v>3009400</v>
      </c>
      <c r="N76" s="15">
        <v>3009400</v>
      </c>
      <c r="O76" s="15">
        <v>3009400</v>
      </c>
      <c r="P76" s="15">
        <v>3009400</v>
      </c>
      <c r="Q76" s="15">
        <v>3009400</v>
      </c>
      <c r="R76" s="15">
        <v>3009400</v>
      </c>
      <c r="S76" s="15">
        <v>3009400</v>
      </c>
      <c r="T76" s="15">
        <v>3009400</v>
      </c>
      <c r="U76" s="15">
        <v>3009400</v>
      </c>
      <c r="V76" s="15">
        <v>3009400</v>
      </c>
      <c r="W76" s="15">
        <v>3009400</v>
      </c>
      <c r="X76" s="15">
        <v>3009400</v>
      </c>
    </row>
    <row r="77" spans="1:24" s="1" customFormat="1" x14ac:dyDescent="0.2">
      <c r="B77" s="31" t="s">
        <v>19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">
        <v>16</v>
      </c>
      <c r="P77" s="45">
        <f>1.1*O77</f>
        <v>17.600000000000001</v>
      </c>
      <c r="Q77" s="45">
        <f t="shared" ref="Q77:X77" si="42">1.1*P77</f>
        <v>19.360000000000003</v>
      </c>
      <c r="R77" s="45">
        <f t="shared" si="42"/>
        <v>21.296000000000006</v>
      </c>
      <c r="S77" s="45">
        <f t="shared" si="42"/>
        <v>23.42560000000001</v>
      </c>
      <c r="T77" s="45">
        <f t="shared" si="42"/>
        <v>25.768160000000012</v>
      </c>
      <c r="U77" s="45">
        <f t="shared" si="42"/>
        <v>28.344976000000017</v>
      </c>
      <c r="V77" s="45">
        <f t="shared" si="42"/>
        <v>31.179473600000023</v>
      </c>
      <c r="W77" s="45">
        <f t="shared" si="42"/>
        <v>34.297420960000025</v>
      </c>
      <c r="X77" s="45">
        <f t="shared" si="42"/>
        <v>37.72716305600003</v>
      </c>
    </row>
    <row r="78" spans="1:24" s="1" customFormat="1" x14ac:dyDescent="0.2">
      <c r="B78" s="31" t="s">
        <v>17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5">
        <f>O76*O77</f>
        <v>48150400</v>
      </c>
      <c r="P78" s="25">
        <f t="shared" ref="P78:X78" si="43">P76*P77</f>
        <v>52965440.000000007</v>
      </c>
      <c r="Q78" s="25">
        <f t="shared" si="43"/>
        <v>58261984.000000007</v>
      </c>
      <c r="R78" s="25">
        <f t="shared" si="43"/>
        <v>64088182.400000021</v>
      </c>
      <c r="S78" s="25">
        <f t="shared" si="43"/>
        <v>70497000.64000003</v>
      </c>
      <c r="T78" s="25">
        <f t="shared" si="43"/>
        <v>77546700.704000041</v>
      </c>
      <c r="U78" s="25">
        <f t="shared" si="43"/>
        <v>85301370.774400055</v>
      </c>
      <c r="V78" s="25">
        <f t="shared" si="43"/>
        <v>93831507.851840064</v>
      </c>
      <c r="W78" s="25">
        <f t="shared" si="43"/>
        <v>103214658.63702407</v>
      </c>
      <c r="X78" s="25">
        <f t="shared" si="43"/>
        <v>113536124.50072649</v>
      </c>
    </row>
    <row r="79" spans="1:24" s="1" customFormat="1" x14ac:dyDescent="0.2">
      <c r="B79" s="31" t="s">
        <v>18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42">
        <f>O74/O78</f>
        <v>4.18019899517924E-2</v>
      </c>
      <c r="P79" s="42">
        <f t="shared" ref="P79:X79" si="44">P74/P78</f>
        <v>4.5602170856500784E-2</v>
      </c>
      <c r="Q79" s="42">
        <f t="shared" si="44"/>
        <v>4.9747822752546314E-2</v>
      </c>
      <c r="R79" s="42">
        <f t="shared" si="44"/>
        <v>5.4270352093686879E-2</v>
      </c>
      <c r="S79" s="42">
        <f t="shared" si="44"/>
        <v>5.9204020465840224E-2</v>
      </c>
      <c r="T79" s="42">
        <f t="shared" si="44"/>
        <v>6.4586204144552961E-2</v>
      </c>
      <c r="U79" s="42">
        <f t="shared" si="44"/>
        <v>7.0457677248603204E-2</v>
      </c>
      <c r="V79" s="42">
        <f t="shared" si="44"/>
        <v>7.6862920634839862E-2</v>
      </c>
      <c r="W79" s="42">
        <f t="shared" si="44"/>
        <v>8.3850458874370745E-2</v>
      </c>
      <c r="X79" s="42">
        <f t="shared" si="44"/>
        <v>9.1473227862949896E-2</v>
      </c>
    </row>
    <row r="80" spans="1:24" s="2" customFormat="1" ht="15" x14ac:dyDescent="0.2">
      <c r="A80" s="2">
        <v>13</v>
      </c>
      <c r="B80" s="2" t="s">
        <v>23</v>
      </c>
      <c r="C80" s="11">
        <v>110731.04056437389</v>
      </c>
      <c r="D80" s="11">
        <v>123516.55003498952</v>
      </c>
      <c r="E80" s="11">
        <v>130696.24217118998</v>
      </c>
      <c r="F80" s="11">
        <v>141313.10225303294</v>
      </c>
      <c r="G80" s="11">
        <v>140305.59006211179</v>
      </c>
      <c r="H80" s="11">
        <v>132171.74657534246</v>
      </c>
      <c r="I80" s="11">
        <v>140000</v>
      </c>
      <c r="J80" s="11">
        <v>170000</v>
      </c>
      <c r="K80" s="11">
        <v>170000</v>
      </c>
      <c r="L80" s="11">
        <v>170000</v>
      </c>
      <c r="M80" s="11">
        <v>170000</v>
      </c>
      <c r="N80" s="11">
        <v>170000</v>
      </c>
      <c r="O80" s="22">
        <f>SUM(C80:N80)</f>
        <v>1768734.2716610406</v>
      </c>
      <c r="P80" s="22">
        <f t="shared" ref="P80:X80" si="45">O80*(1+P81)</f>
        <v>2210917.8395763007</v>
      </c>
      <c r="Q80" s="22">
        <f t="shared" si="45"/>
        <v>2763647.2994703758</v>
      </c>
      <c r="R80" s="22">
        <f t="shared" si="45"/>
        <v>3454559.1243379698</v>
      </c>
      <c r="S80" s="22">
        <f t="shared" si="45"/>
        <v>4318198.9054224622</v>
      </c>
      <c r="T80" s="22">
        <f t="shared" si="45"/>
        <v>5397748.6317780782</v>
      </c>
      <c r="U80" s="22">
        <f t="shared" si="45"/>
        <v>6747185.7897225972</v>
      </c>
      <c r="V80" s="22">
        <f t="shared" si="45"/>
        <v>8433982.237153247</v>
      </c>
      <c r="W80" s="22">
        <f t="shared" si="45"/>
        <v>10542477.796441559</v>
      </c>
      <c r="X80" s="22">
        <f t="shared" si="45"/>
        <v>13178097.245551948</v>
      </c>
    </row>
    <row r="81" spans="1:24" s="2" customFormat="1" ht="15" x14ac:dyDescent="0.2">
      <c r="A81" s="35"/>
      <c r="B81" s="36" t="s">
        <v>25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7">
        <v>0.25</v>
      </c>
      <c r="Q81" s="37">
        <v>0.25</v>
      </c>
      <c r="R81" s="37">
        <v>0.25</v>
      </c>
      <c r="S81" s="37">
        <v>0.25</v>
      </c>
      <c r="T81" s="37">
        <v>0.25</v>
      </c>
      <c r="U81" s="37">
        <v>0.25</v>
      </c>
      <c r="V81" s="37">
        <v>0.25</v>
      </c>
      <c r="W81" s="37">
        <v>0.25</v>
      </c>
      <c r="X81" s="37">
        <v>0.25</v>
      </c>
    </row>
    <row r="82" spans="1:24" s="1" customFormat="1" x14ac:dyDescent="0.2">
      <c r="B82" s="31" t="s">
        <v>16</v>
      </c>
      <c r="C82" s="15">
        <v>5300000</v>
      </c>
      <c r="D82" s="15">
        <v>5300000</v>
      </c>
      <c r="E82" s="15">
        <v>5300000</v>
      </c>
      <c r="F82" s="15">
        <v>5300000</v>
      </c>
      <c r="G82" s="15">
        <v>5300000</v>
      </c>
      <c r="H82" s="15">
        <v>5300000</v>
      </c>
      <c r="I82" s="15">
        <v>5300000</v>
      </c>
      <c r="J82" s="15">
        <v>5300000</v>
      </c>
      <c r="K82" s="15">
        <v>5300000</v>
      </c>
      <c r="L82" s="15">
        <v>5300000</v>
      </c>
      <c r="M82" s="15">
        <v>5300000</v>
      </c>
      <c r="N82" s="15">
        <v>5300000</v>
      </c>
      <c r="O82" s="15">
        <v>5300000</v>
      </c>
      <c r="P82" s="15">
        <v>5300000</v>
      </c>
      <c r="Q82" s="15">
        <v>5300000</v>
      </c>
      <c r="R82" s="15">
        <v>5300000</v>
      </c>
      <c r="S82" s="15">
        <v>5300000</v>
      </c>
      <c r="T82" s="15">
        <v>5300000</v>
      </c>
      <c r="U82" s="15">
        <v>5300000</v>
      </c>
      <c r="V82" s="15">
        <v>5300000</v>
      </c>
      <c r="W82" s="15">
        <v>5300000</v>
      </c>
      <c r="X82" s="15">
        <v>5300000</v>
      </c>
    </row>
    <row r="83" spans="1:24" s="1" customFormat="1" x14ac:dyDescent="0.2">
      <c r="B83" s="31" t="s">
        <v>19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">
        <v>14</v>
      </c>
      <c r="P83" s="45">
        <f>1.1*O83</f>
        <v>15.400000000000002</v>
      </c>
      <c r="Q83" s="45">
        <f t="shared" ref="Q83:X83" si="46">1.1*P83</f>
        <v>16.940000000000005</v>
      </c>
      <c r="R83" s="45">
        <f t="shared" si="46"/>
        <v>18.634000000000007</v>
      </c>
      <c r="S83" s="45">
        <f t="shared" si="46"/>
        <v>20.49740000000001</v>
      </c>
      <c r="T83" s="45">
        <f t="shared" si="46"/>
        <v>22.547140000000013</v>
      </c>
      <c r="U83" s="45">
        <f t="shared" si="46"/>
        <v>24.801854000000016</v>
      </c>
      <c r="V83" s="45">
        <f t="shared" si="46"/>
        <v>27.28203940000002</v>
      </c>
      <c r="W83" s="45">
        <f t="shared" si="46"/>
        <v>30.010243340000024</v>
      </c>
      <c r="X83" s="45">
        <f t="shared" si="46"/>
        <v>33.011267674000031</v>
      </c>
    </row>
    <row r="84" spans="1:24" s="1" customFormat="1" x14ac:dyDescent="0.2">
      <c r="B84" s="31" t="s">
        <v>17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25">
        <f>O83*O82</f>
        <v>74200000</v>
      </c>
      <c r="P84" s="25">
        <f t="shared" ref="P84:X84" si="47">P83*P82</f>
        <v>81620000.000000015</v>
      </c>
      <c r="Q84" s="25">
        <f t="shared" si="47"/>
        <v>89782000.00000003</v>
      </c>
      <c r="R84" s="25">
        <f t="shared" si="47"/>
        <v>98760200.000000045</v>
      </c>
      <c r="S84" s="25">
        <f t="shared" si="47"/>
        <v>108636220.00000004</v>
      </c>
      <c r="T84" s="25">
        <f t="shared" si="47"/>
        <v>119499842.00000007</v>
      </c>
      <c r="U84" s="25">
        <f t="shared" si="47"/>
        <v>131449826.20000009</v>
      </c>
      <c r="V84" s="25">
        <f t="shared" si="47"/>
        <v>144594808.82000011</v>
      </c>
      <c r="W84" s="25">
        <f t="shared" si="47"/>
        <v>159054289.70200011</v>
      </c>
      <c r="X84" s="25">
        <f t="shared" si="47"/>
        <v>174959718.67220017</v>
      </c>
    </row>
    <row r="85" spans="1:24" s="1" customFormat="1" x14ac:dyDescent="0.2">
      <c r="B85" s="31" t="s">
        <v>18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42">
        <f>O80/O84</f>
        <v>2.3837389105943945E-2</v>
      </c>
      <c r="P85" s="42">
        <f t="shared" ref="P85:X85" si="48">P80/P84</f>
        <v>2.7087942165845386E-2</v>
      </c>
      <c r="Q85" s="42">
        <f t="shared" si="48"/>
        <v>3.0781752461187931E-2</v>
      </c>
      <c r="R85" s="42">
        <f t="shared" si="48"/>
        <v>3.497926416044083E-2</v>
      </c>
      <c r="S85" s="42">
        <f t="shared" si="48"/>
        <v>3.9749163818682758E-2</v>
      </c>
      <c r="T85" s="42">
        <f t="shared" si="48"/>
        <v>4.516950433941222E-2</v>
      </c>
      <c r="U85" s="42">
        <f t="shared" si="48"/>
        <v>5.1328982203877514E-2</v>
      </c>
      <c r="V85" s="42">
        <f t="shared" si="48"/>
        <v>5.8328388868042633E-2</v>
      </c>
      <c r="W85" s="42">
        <f t="shared" si="48"/>
        <v>6.6282260077321173E-2</v>
      </c>
      <c r="X85" s="42">
        <f t="shared" si="48"/>
        <v>7.5320750087864943E-2</v>
      </c>
    </row>
    <row r="86" spans="1:24" s="2" customFormat="1" ht="15" x14ac:dyDescent="0.2">
      <c r="A86" s="2">
        <v>14</v>
      </c>
      <c r="B86" s="2" t="s">
        <v>57</v>
      </c>
      <c r="C86" s="11">
        <v>119343.38624338624</v>
      </c>
      <c r="D86" s="11">
        <v>141694.54163750875</v>
      </c>
      <c r="E86" s="11">
        <v>95155.25400139179</v>
      </c>
      <c r="F86" s="11">
        <v>107010.08665511265</v>
      </c>
      <c r="G86" s="11">
        <v>139348.89579020013</v>
      </c>
      <c r="H86" s="11">
        <v>137170.75342465754</v>
      </c>
      <c r="I86" s="11">
        <v>150000</v>
      </c>
      <c r="J86" s="11">
        <v>170000</v>
      </c>
      <c r="K86" s="11">
        <v>200000</v>
      </c>
      <c r="L86" s="11">
        <v>200000</v>
      </c>
      <c r="M86" s="11">
        <v>200000</v>
      </c>
      <c r="N86" s="11">
        <v>200000</v>
      </c>
      <c r="O86" s="22">
        <f>SUM(C86:N86)</f>
        <v>1859722.9177522571</v>
      </c>
      <c r="P86" s="22">
        <f>O86*(1+P87)</f>
        <v>2417639.7930779341</v>
      </c>
      <c r="Q86" s="22">
        <f t="shared" ref="Q86:X86" si="49">P86*(1+Q87)</f>
        <v>3142931.7310013142</v>
      </c>
      <c r="R86" s="22">
        <f t="shared" si="49"/>
        <v>4085811.2503017085</v>
      </c>
      <c r="S86" s="22">
        <f t="shared" si="49"/>
        <v>5311554.6253922209</v>
      </c>
      <c r="T86" s="22">
        <f t="shared" si="49"/>
        <v>6905021.0130098872</v>
      </c>
      <c r="U86" s="22">
        <f t="shared" si="49"/>
        <v>8976527.3169128541</v>
      </c>
      <c r="V86" s="22">
        <f t="shared" si="49"/>
        <v>11669485.51198671</v>
      </c>
      <c r="W86" s="22">
        <f t="shared" si="49"/>
        <v>15170331.165582724</v>
      </c>
      <c r="X86" s="22">
        <f t="shared" si="49"/>
        <v>19721430.515257541</v>
      </c>
    </row>
    <row r="87" spans="1:24" s="2" customFormat="1" ht="15" x14ac:dyDescent="0.2">
      <c r="A87" s="35"/>
      <c r="B87" s="36" t="s">
        <v>25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7">
        <v>0.3</v>
      </c>
      <c r="Q87" s="37">
        <v>0.3</v>
      </c>
      <c r="R87" s="37">
        <v>0.3</v>
      </c>
      <c r="S87" s="37">
        <v>0.3</v>
      </c>
      <c r="T87" s="37">
        <v>0.3</v>
      </c>
      <c r="U87" s="37">
        <v>0.3</v>
      </c>
      <c r="V87" s="37">
        <v>0.3</v>
      </c>
      <c r="W87" s="37">
        <v>0.3</v>
      </c>
      <c r="X87" s="37">
        <v>0.3</v>
      </c>
    </row>
    <row r="88" spans="1:24" s="1" customFormat="1" x14ac:dyDescent="0.2">
      <c r="B88" s="31" t="s">
        <v>16</v>
      </c>
      <c r="C88" s="15">
        <v>7087000</v>
      </c>
      <c r="D88" s="15">
        <v>7087000</v>
      </c>
      <c r="E88" s="15">
        <v>7087000</v>
      </c>
      <c r="F88" s="15">
        <v>7087000</v>
      </c>
      <c r="G88" s="15">
        <v>7087000</v>
      </c>
      <c r="H88" s="15">
        <v>7087000</v>
      </c>
      <c r="I88" s="15">
        <v>7087000</v>
      </c>
      <c r="J88" s="15">
        <v>7087000</v>
      </c>
      <c r="K88" s="15">
        <v>7087000</v>
      </c>
      <c r="L88" s="15">
        <v>7087000</v>
      </c>
      <c r="M88" s="15">
        <v>7087000</v>
      </c>
      <c r="N88" s="15">
        <v>7087000</v>
      </c>
      <c r="O88" s="15">
        <v>7087000</v>
      </c>
      <c r="P88" s="15">
        <v>7087000</v>
      </c>
      <c r="Q88" s="15">
        <v>7087000</v>
      </c>
      <c r="R88" s="15">
        <v>7087000</v>
      </c>
      <c r="S88" s="15">
        <v>7087000</v>
      </c>
      <c r="T88" s="15">
        <v>7087000</v>
      </c>
      <c r="U88" s="15">
        <v>7087000</v>
      </c>
      <c r="V88" s="15">
        <v>7087000</v>
      </c>
      <c r="W88" s="15">
        <v>7087000</v>
      </c>
      <c r="X88" s="15">
        <v>7087000</v>
      </c>
    </row>
    <row r="89" spans="1:24" s="1" customFormat="1" x14ac:dyDescent="0.2">
      <c r="B89" s="31" t="s">
        <v>19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">
        <v>14</v>
      </c>
      <c r="P89" s="45">
        <f>1.1*O89</f>
        <v>15.400000000000002</v>
      </c>
      <c r="Q89" s="45">
        <f t="shared" ref="Q89:X89" si="50">1.1*P89</f>
        <v>16.940000000000005</v>
      </c>
      <c r="R89" s="45">
        <f t="shared" si="50"/>
        <v>18.634000000000007</v>
      </c>
      <c r="S89" s="45">
        <f t="shared" si="50"/>
        <v>20.49740000000001</v>
      </c>
      <c r="T89" s="45">
        <f t="shared" si="50"/>
        <v>22.547140000000013</v>
      </c>
      <c r="U89" s="45">
        <f t="shared" si="50"/>
        <v>24.801854000000016</v>
      </c>
      <c r="V89" s="45">
        <f t="shared" si="50"/>
        <v>27.28203940000002</v>
      </c>
      <c r="W89" s="45">
        <f t="shared" si="50"/>
        <v>30.010243340000024</v>
      </c>
      <c r="X89" s="45">
        <f t="shared" si="50"/>
        <v>33.011267674000031</v>
      </c>
    </row>
    <row r="90" spans="1:24" s="1" customFormat="1" x14ac:dyDescent="0.2">
      <c r="B90" s="31" t="s">
        <v>17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25">
        <f>O88*O89</f>
        <v>99218000</v>
      </c>
      <c r="P90" s="25">
        <f t="shared" ref="P90:X90" si="51">P88*P89</f>
        <v>109139800.00000001</v>
      </c>
      <c r="Q90" s="25">
        <f t="shared" si="51"/>
        <v>120053780.00000003</v>
      </c>
      <c r="R90" s="25">
        <f t="shared" si="51"/>
        <v>132059158.00000006</v>
      </c>
      <c r="S90" s="25">
        <f t="shared" si="51"/>
        <v>145265073.80000007</v>
      </c>
      <c r="T90" s="25">
        <f t="shared" si="51"/>
        <v>159791581.1800001</v>
      </c>
      <c r="U90" s="25">
        <f t="shared" si="51"/>
        <v>175770739.29800013</v>
      </c>
      <c r="V90" s="25">
        <f t="shared" si="51"/>
        <v>193347813.22780013</v>
      </c>
      <c r="W90" s="25">
        <f t="shared" si="51"/>
        <v>212682594.55058017</v>
      </c>
      <c r="X90" s="25">
        <f t="shared" si="51"/>
        <v>233950854.00563821</v>
      </c>
    </row>
    <row r="91" spans="1:24" s="1" customFormat="1" x14ac:dyDescent="0.2">
      <c r="B91" s="31" t="s">
        <v>18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42">
        <f>O86/O90</f>
        <v>1.8743805738396836E-2</v>
      </c>
      <c r="P91" s="42">
        <f t="shared" ref="P91:X91" si="52">P86/P90</f>
        <v>2.2151770418105347E-2</v>
      </c>
      <c r="Q91" s="42">
        <f t="shared" si="52"/>
        <v>2.6179365039579041E-2</v>
      </c>
      <c r="R91" s="42">
        <f t="shared" si="52"/>
        <v>3.0939249592229767E-2</v>
      </c>
      <c r="S91" s="42">
        <f t="shared" si="52"/>
        <v>3.6564567699907909E-2</v>
      </c>
      <c r="T91" s="42">
        <f t="shared" si="52"/>
        <v>4.3212670918072973E-2</v>
      </c>
      <c r="U91" s="42">
        <f t="shared" si="52"/>
        <v>5.1069520175904423E-2</v>
      </c>
      <c r="V91" s="42">
        <f t="shared" si="52"/>
        <v>6.0354887480614322E-2</v>
      </c>
      <c r="W91" s="42">
        <f t="shared" si="52"/>
        <v>7.1328503386180561E-2</v>
      </c>
      <c r="X91" s="42">
        <f t="shared" si="52"/>
        <v>8.4297322183667922E-2</v>
      </c>
    </row>
    <row r="92" spans="1:24" s="2" customFormat="1" ht="15" x14ac:dyDescent="0.2">
      <c r="A92" s="2">
        <v>15</v>
      </c>
      <c r="B92" s="2" t="s">
        <v>58</v>
      </c>
      <c r="C92" s="11">
        <v>87139.012345679002</v>
      </c>
      <c r="D92" s="11">
        <v>86485.619314205745</v>
      </c>
      <c r="E92" s="11">
        <v>68888.552540013916</v>
      </c>
      <c r="F92" s="11">
        <v>72471.611785095316</v>
      </c>
      <c r="G92" s="11">
        <v>78057.349896480329</v>
      </c>
      <c r="H92" s="11">
        <v>68396.506849315076</v>
      </c>
      <c r="I92" s="11">
        <v>75000</v>
      </c>
      <c r="J92" s="11">
        <v>80000</v>
      </c>
      <c r="K92" s="11">
        <v>100000</v>
      </c>
      <c r="L92" s="11">
        <v>100000</v>
      </c>
      <c r="M92" s="11">
        <v>100000</v>
      </c>
      <c r="N92" s="11">
        <v>100000</v>
      </c>
      <c r="O92" s="22">
        <f>SUM(C92:N92)</f>
        <v>1016438.6527307894</v>
      </c>
      <c r="P92" s="22">
        <f>O92*(1+P93)</f>
        <v>1321370.2485500262</v>
      </c>
      <c r="Q92" s="22">
        <f t="shared" ref="Q92:X92" si="53">P92*(1+Q93)</f>
        <v>1717781.323115034</v>
      </c>
      <c r="R92" s="22">
        <f t="shared" si="53"/>
        <v>2233115.7200495442</v>
      </c>
      <c r="S92" s="22">
        <f t="shared" si="53"/>
        <v>2903050.4360644077</v>
      </c>
      <c r="T92" s="22">
        <f t="shared" si="53"/>
        <v>3773965.5668837302</v>
      </c>
      <c r="U92" s="22">
        <f t="shared" si="53"/>
        <v>4906155.2369488496</v>
      </c>
      <c r="V92" s="22">
        <f t="shared" si="53"/>
        <v>6378001.8080335045</v>
      </c>
      <c r="W92" s="22">
        <f t="shared" si="53"/>
        <v>8291402.350443556</v>
      </c>
      <c r="X92" s="22">
        <f t="shared" si="53"/>
        <v>10778823.055576622</v>
      </c>
    </row>
    <row r="93" spans="1:24" s="2" customFormat="1" ht="15" x14ac:dyDescent="0.2">
      <c r="A93" s="35"/>
      <c r="B93" s="36" t="s">
        <v>25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7">
        <v>0.3</v>
      </c>
      <c r="Q93" s="37">
        <v>0.3</v>
      </c>
      <c r="R93" s="37">
        <v>0.3</v>
      </c>
      <c r="S93" s="37">
        <v>0.3</v>
      </c>
      <c r="T93" s="37">
        <v>0.3</v>
      </c>
      <c r="U93" s="37">
        <v>0.3</v>
      </c>
      <c r="V93" s="37">
        <v>0.3</v>
      </c>
      <c r="W93" s="37">
        <v>0.3</v>
      </c>
      <c r="X93" s="37">
        <v>0.3</v>
      </c>
    </row>
    <row r="94" spans="1:24" s="1" customFormat="1" x14ac:dyDescent="0.2">
      <c r="B94" s="31" t="s">
        <v>16</v>
      </c>
      <c r="C94" s="15">
        <v>4874700</v>
      </c>
      <c r="D94" s="15">
        <v>4874700</v>
      </c>
      <c r="E94" s="15">
        <v>4874700</v>
      </c>
      <c r="F94" s="15">
        <v>4874700</v>
      </c>
      <c r="G94" s="15">
        <v>4874700</v>
      </c>
      <c r="H94" s="15">
        <v>4874700</v>
      </c>
      <c r="I94" s="15">
        <v>4874700</v>
      </c>
      <c r="J94" s="15">
        <v>4874700</v>
      </c>
      <c r="K94" s="15">
        <v>4874700</v>
      </c>
      <c r="L94" s="15">
        <v>4874700</v>
      </c>
      <c r="M94" s="15">
        <v>4874700</v>
      </c>
      <c r="N94" s="15">
        <v>4874700</v>
      </c>
      <c r="O94" s="15">
        <v>4874700</v>
      </c>
      <c r="P94" s="15">
        <v>4874700</v>
      </c>
      <c r="Q94" s="15">
        <v>4874700</v>
      </c>
      <c r="R94" s="15">
        <v>4874700</v>
      </c>
      <c r="S94" s="15">
        <v>4874700</v>
      </c>
      <c r="T94" s="15">
        <v>4874700</v>
      </c>
      <c r="U94" s="15">
        <v>4874700</v>
      </c>
      <c r="V94" s="15">
        <v>4874700</v>
      </c>
      <c r="W94" s="15">
        <v>4874700</v>
      </c>
      <c r="X94" s="15">
        <v>4874700</v>
      </c>
    </row>
    <row r="95" spans="1:24" s="1" customFormat="1" x14ac:dyDescent="0.2">
      <c r="B95" s="31" t="s">
        <v>19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">
        <v>10.5</v>
      </c>
      <c r="P95" s="45">
        <f>1.1*O95</f>
        <v>11.55</v>
      </c>
      <c r="Q95" s="45">
        <f t="shared" ref="Q95:X95" si="54">1.1*P95</f>
        <v>12.705000000000002</v>
      </c>
      <c r="R95" s="45">
        <f t="shared" si="54"/>
        <v>13.975500000000004</v>
      </c>
      <c r="S95" s="45">
        <f t="shared" si="54"/>
        <v>15.373050000000005</v>
      </c>
      <c r="T95" s="45">
        <f t="shared" si="54"/>
        <v>16.910355000000006</v>
      </c>
      <c r="U95" s="45">
        <f t="shared" si="54"/>
        <v>18.601390500000008</v>
      </c>
      <c r="V95" s="45">
        <f t="shared" si="54"/>
        <v>20.461529550000009</v>
      </c>
      <c r="W95" s="45">
        <f t="shared" si="54"/>
        <v>22.507682505000012</v>
      </c>
      <c r="X95" s="45">
        <f t="shared" si="54"/>
        <v>24.758450755500014</v>
      </c>
    </row>
    <row r="96" spans="1:24" s="1" customFormat="1" x14ac:dyDescent="0.2">
      <c r="B96" s="31" t="s">
        <v>17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25">
        <f>O94*O95</f>
        <v>51184350</v>
      </c>
      <c r="P96" s="25">
        <f t="shared" ref="P96:X96" si="55">P94*P95</f>
        <v>56302785</v>
      </c>
      <c r="Q96" s="25">
        <f t="shared" si="55"/>
        <v>61933063.500000007</v>
      </c>
      <c r="R96" s="25">
        <f t="shared" si="55"/>
        <v>68126369.850000024</v>
      </c>
      <c r="S96" s="25">
        <f t="shared" si="55"/>
        <v>74939006.835000023</v>
      </c>
      <c r="T96" s="25">
        <f t="shared" si="55"/>
        <v>82432907.51850003</v>
      </c>
      <c r="U96" s="25">
        <f t="shared" si="55"/>
        <v>90676198.270350039</v>
      </c>
      <c r="V96" s="25">
        <f t="shared" si="55"/>
        <v>99743818.097385049</v>
      </c>
      <c r="W96" s="25">
        <f t="shared" si="55"/>
        <v>109718199.90712357</v>
      </c>
      <c r="X96" s="25">
        <f t="shared" si="55"/>
        <v>120690019.89783593</v>
      </c>
    </row>
    <row r="97" spans="1:24" s="1" customFormat="1" x14ac:dyDescent="0.2">
      <c r="B97" s="31" t="s">
        <v>18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42">
        <f>O92/O96</f>
        <v>1.9858387431525248E-2</v>
      </c>
      <c r="P97" s="42">
        <f t="shared" ref="P97:X97" si="56">P92/P96</f>
        <v>2.3469003328166205E-2</v>
      </c>
      <c r="Q97" s="42">
        <f t="shared" si="56"/>
        <v>2.7736094842378236E-2</v>
      </c>
      <c r="R97" s="42">
        <f t="shared" si="56"/>
        <v>3.2779021177356094E-2</v>
      </c>
      <c r="S97" s="42">
        <f t="shared" si="56"/>
        <v>3.8738843209602657E-2</v>
      </c>
      <c r="T97" s="42">
        <f t="shared" si="56"/>
        <v>4.5782269247712233E-2</v>
      </c>
      <c r="U97" s="42">
        <f t="shared" si="56"/>
        <v>5.4106318201841724E-2</v>
      </c>
      <c r="V97" s="42">
        <f t="shared" si="56"/>
        <v>6.394383060217658E-2</v>
      </c>
      <c r="W97" s="42">
        <f t="shared" si="56"/>
        <v>7.5569981620754137E-2</v>
      </c>
      <c r="X97" s="42">
        <f t="shared" si="56"/>
        <v>8.9309978279073068E-2</v>
      </c>
    </row>
    <row r="98" spans="1:24" s="2" customFormat="1" ht="15" x14ac:dyDescent="0.2">
      <c r="A98" s="2">
        <v>16</v>
      </c>
      <c r="B98" s="2" t="s">
        <v>24</v>
      </c>
      <c r="C98" s="11">
        <v>0</v>
      </c>
      <c r="D98" s="11">
        <v>0</v>
      </c>
      <c r="E98" s="11">
        <v>11858.455114822547</v>
      </c>
      <c r="F98" s="11">
        <v>18486.48180242634</v>
      </c>
      <c r="G98" s="11">
        <v>17122.636300897171</v>
      </c>
      <c r="H98" s="11">
        <v>28314.14383561644</v>
      </c>
      <c r="I98" s="11">
        <v>30000</v>
      </c>
      <c r="J98" s="11">
        <v>35000</v>
      </c>
      <c r="K98" s="11">
        <v>50000</v>
      </c>
      <c r="L98" s="11">
        <v>50000</v>
      </c>
      <c r="M98" s="11">
        <v>50000</v>
      </c>
      <c r="N98" s="11">
        <v>50000</v>
      </c>
      <c r="O98" s="22">
        <f>SUM(C98:N98)</f>
        <v>340781.71705376252</v>
      </c>
      <c r="P98" s="22">
        <f>O98*(1+P99)</f>
        <v>477094.40387526748</v>
      </c>
      <c r="Q98" s="22">
        <f t="shared" ref="Q98:X98" si="57">P98*(1+Q99)</f>
        <v>644077.44523161114</v>
      </c>
      <c r="R98" s="22">
        <f t="shared" si="57"/>
        <v>837300.67880109453</v>
      </c>
      <c r="S98" s="22">
        <f t="shared" si="57"/>
        <v>1088490.8824414229</v>
      </c>
      <c r="T98" s="22">
        <f t="shared" si="57"/>
        <v>1415038.1471738499</v>
      </c>
      <c r="U98" s="22">
        <f t="shared" si="57"/>
        <v>1839549.5913260048</v>
      </c>
      <c r="V98" s="22">
        <f t="shared" si="57"/>
        <v>2391414.4687238066</v>
      </c>
      <c r="W98" s="22">
        <f t="shared" si="57"/>
        <v>3108838.8093409487</v>
      </c>
      <c r="X98" s="22">
        <f t="shared" si="57"/>
        <v>4041490.4521432333</v>
      </c>
    </row>
    <row r="99" spans="1:24" s="2" customFormat="1" ht="15" x14ac:dyDescent="0.2">
      <c r="A99" s="35"/>
      <c r="B99" s="36" t="s">
        <v>25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7">
        <v>0.4</v>
      </c>
      <c r="Q99" s="37">
        <v>0.35</v>
      </c>
      <c r="R99" s="37">
        <v>0.3</v>
      </c>
      <c r="S99" s="37">
        <v>0.3</v>
      </c>
      <c r="T99" s="37">
        <v>0.3</v>
      </c>
      <c r="U99" s="37">
        <v>0.3</v>
      </c>
      <c r="V99" s="37">
        <v>0.3</v>
      </c>
      <c r="W99" s="37">
        <v>0.3</v>
      </c>
      <c r="X99" s="37">
        <v>0.3</v>
      </c>
    </row>
    <row r="100" spans="1:24" s="1" customFormat="1" x14ac:dyDescent="0.2">
      <c r="B100" s="31" t="s">
        <v>16</v>
      </c>
      <c r="C100" s="15">
        <v>1634000</v>
      </c>
      <c r="D100" s="15">
        <v>1634000</v>
      </c>
      <c r="E100" s="15">
        <v>1634000</v>
      </c>
      <c r="F100" s="15">
        <v>1634000</v>
      </c>
      <c r="G100" s="15">
        <v>1634000</v>
      </c>
      <c r="H100" s="15">
        <v>1634000</v>
      </c>
      <c r="I100" s="15">
        <v>1634000</v>
      </c>
      <c r="J100" s="15">
        <v>1634000</v>
      </c>
      <c r="K100" s="15">
        <v>1634000</v>
      </c>
      <c r="L100" s="15">
        <v>1634000</v>
      </c>
      <c r="M100" s="15">
        <v>1634000</v>
      </c>
      <c r="N100" s="15">
        <v>1634000</v>
      </c>
      <c r="O100" s="15">
        <v>1634000</v>
      </c>
      <c r="P100" s="15">
        <v>1634000</v>
      </c>
      <c r="Q100" s="15">
        <v>1634000</v>
      </c>
      <c r="R100" s="15">
        <v>1634000</v>
      </c>
      <c r="S100" s="15">
        <v>1634000</v>
      </c>
      <c r="T100" s="15">
        <v>1634000</v>
      </c>
      <c r="U100" s="15">
        <v>1634000</v>
      </c>
      <c r="V100" s="15">
        <v>1634000</v>
      </c>
      <c r="W100" s="15">
        <v>1634000</v>
      </c>
      <c r="X100" s="15">
        <v>1634000</v>
      </c>
    </row>
    <row r="101" spans="1:24" s="1" customFormat="1" x14ac:dyDescent="0.2">
      <c r="B101" s="31" t="s">
        <v>19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">
        <v>17</v>
      </c>
      <c r="P101" s="45">
        <f>1.1*O101</f>
        <v>18.700000000000003</v>
      </c>
      <c r="Q101" s="45">
        <f t="shared" ref="Q101:X101" si="58">1.1*P101</f>
        <v>20.570000000000004</v>
      </c>
      <c r="R101" s="45">
        <f t="shared" si="58"/>
        <v>22.627000000000006</v>
      </c>
      <c r="S101" s="45">
        <f t="shared" si="58"/>
        <v>24.889700000000008</v>
      </c>
      <c r="T101" s="45">
        <f t="shared" si="58"/>
        <v>27.37867000000001</v>
      </c>
      <c r="U101" s="45">
        <f t="shared" si="58"/>
        <v>30.116537000000015</v>
      </c>
      <c r="V101" s="45">
        <f t="shared" si="58"/>
        <v>33.128190700000019</v>
      </c>
      <c r="W101" s="45">
        <f t="shared" si="58"/>
        <v>36.441009770000022</v>
      </c>
      <c r="X101" s="45">
        <f t="shared" si="58"/>
        <v>40.08511074700003</v>
      </c>
    </row>
    <row r="102" spans="1:24" s="1" customFormat="1" x14ac:dyDescent="0.2">
      <c r="B102" s="31" t="s">
        <v>17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25">
        <f>O100*O101</f>
        <v>27778000</v>
      </c>
      <c r="P102" s="25">
        <f t="shared" ref="P102:X102" si="59">P100*P101</f>
        <v>30555800.000000004</v>
      </c>
      <c r="Q102" s="25">
        <f t="shared" si="59"/>
        <v>33611380.000000007</v>
      </c>
      <c r="R102" s="25">
        <f t="shared" si="59"/>
        <v>36972518.000000007</v>
      </c>
      <c r="S102" s="25">
        <f t="shared" si="59"/>
        <v>40669769.800000012</v>
      </c>
      <c r="T102" s="25">
        <f t="shared" si="59"/>
        <v>44736746.780000016</v>
      </c>
      <c r="U102" s="25">
        <f t="shared" si="59"/>
        <v>49210421.458000027</v>
      </c>
      <c r="V102" s="25">
        <f t="shared" si="59"/>
        <v>54131463.603800029</v>
      </c>
      <c r="W102" s="25">
        <f t="shared" si="59"/>
        <v>59544609.964180037</v>
      </c>
      <c r="X102" s="25">
        <f t="shared" si="59"/>
        <v>65499070.960598052</v>
      </c>
    </row>
    <row r="103" spans="1:24" s="1" customFormat="1" x14ac:dyDescent="0.2">
      <c r="B103" s="31" t="s">
        <v>18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42">
        <f>O98/O102</f>
        <v>1.2268043669586094E-2</v>
      </c>
      <c r="P103" s="42">
        <f t="shared" ref="P103:X103" si="60">P98/P102</f>
        <v>1.561387376129139E-2</v>
      </c>
      <c r="Q103" s="42">
        <f t="shared" si="60"/>
        <v>1.9162481434312158E-2</v>
      </c>
      <c r="R103" s="42">
        <f t="shared" si="60"/>
        <v>2.2646568967823463E-2</v>
      </c>
      <c r="S103" s="42">
        <f t="shared" si="60"/>
        <v>2.6764126961973181E-2</v>
      </c>
      <c r="T103" s="42">
        <f t="shared" si="60"/>
        <v>3.1630331864150124E-2</v>
      </c>
      <c r="U103" s="42">
        <f t="shared" si="60"/>
        <v>3.738130129399559E-2</v>
      </c>
      <c r="V103" s="42">
        <f t="shared" si="60"/>
        <v>4.4177901529267524E-2</v>
      </c>
      <c r="W103" s="42">
        <f t="shared" si="60"/>
        <v>5.2210247261861617E-2</v>
      </c>
      <c r="X103" s="42">
        <f t="shared" si="60"/>
        <v>6.1703019491290992E-2</v>
      </c>
    </row>
    <row r="104" spans="1:24" s="2" customFormat="1" ht="15" x14ac:dyDescent="0.2">
      <c r="A104" s="2">
        <v>17</v>
      </c>
      <c r="B104" s="2" t="s">
        <v>59</v>
      </c>
      <c r="C104" s="11">
        <v>88983.280423280419</v>
      </c>
      <c r="D104" s="11">
        <v>73956.892932120361</v>
      </c>
      <c r="E104" s="11">
        <v>97759.951287404314</v>
      </c>
      <c r="F104" s="11">
        <v>105851.0918544194</v>
      </c>
      <c r="G104" s="11">
        <v>136385.71428571429</v>
      </c>
      <c r="H104" s="11">
        <v>116299.48630136986</v>
      </c>
      <c r="I104" s="11">
        <v>140000</v>
      </c>
      <c r="J104" s="11">
        <v>170000</v>
      </c>
      <c r="K104" s="11">
        <v>170000</v>
      </c>
      <c r="L104" s="11">
        <v>170000</v>
      </c>
      <c r="M104" s="11">
        <v>170000</v>
      </c>
      <c r="N104" s="11">
        <v>170000</v>
      </c>
      <c r="O104" s="22">
        <f>SUM(C104:N104)</f>
        <v>1609236.4170843088</v>
      </c>
      <c r="P104" s="22">
        <f>O104*(1+P105)</f>
        <v>2011545.5213553859</v>
      </c>
      <c r="Q104" s="22">
        <f t="shared" ref="Q104:X104" si="61">P104*(1+Q105)</f>
        <v>2514431.9016942326</v>
      </c>
      <c r="R104" s="22">
        <f t="shared" si="61"/>
        <v>3143039.8771177907</v>
      </c>
      <c r="S104" s="22">
        <f t="shared" si="61"/>
        <v>3928799.8463972383</v>
      </c>
      <c r="T104" s="22">
        <f t="shared" si="61"/>
        <v>4910999.8079965478</v>
      </c>
      <c r="U104" s="22">
        <f t="shared" si="61"/>
        <v>6138749.759995685</v>
      </c>
      <c r="V104" s="22">
        <f t="shared" si="61"/>
        <v>7673437.199994606</v>
      </c>
      <c r="W104" s="22">
        <f t="shared" si="61"/>
        <v>9591796.4999932572</v>
      </c>
      <c r="X104" s="22">
        <f t="shared" si="61"/>
        <v>11989745.624991572</v>
      </c>
    </row>
    <row r="105" spans="1:24" s="2" customFormat="1" ht="15" x14ac:dyDescent="0.2">
      <c r="A105" s="35"/>
      <c r="B105" s="36" t="s">
        <v>25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7">
        <v>0.25</v>
      </c>
      <c r="Q105" s="37">
        <v>0.25</v>
      </c>
      <c r="R105" s="37">
        <v>0.25</v>
      </c>
      <c r="S105" s="37">
        <v>0.25</v>
      </c>
      <c r="T105" s="37">
        <v>0.25</v>
      </c>
      <c r="U105" s="37">
        <v>0.25</v>
      </c>
      <c r="V105" s="37">
        <v>0.25</v>
      </c>
      <c r="W105" s="37">
        <v>0.25</v>
      </c>
      <c r="X105" s="37">
        <v>0.25</v>
      </c>
    </row>
    <row r="106" spans="1:24" s="1" customFormat="1" x14ac:dyDescent="0.2">
      <c r="B106" s="31" t="s">
        <v>16</v>
      </c>
      <c r="C106" s="15">
        <v>3727000</v>
      </c>
      <c r="D106" s="15">
        <v>3727000</v>
      </c>
      <c r="E106" s="15">
        <v>3727000</v>
      </c>
      <c r="F106" s="15">
        <v>3727000</v>
      </c>
      <c r="G106" s="15">
        <v>3727000</v>
      </c>
      <c r="H106" s="15">
        <v>3727000</v>
      </c>
      <c r="I106" s="15">
        <v>3727000</v>
      </c>
      <c r="J106" s="15">
        <v>3727000</v>
      </c>
      <c r="K106" s="15">
        <v>3727000</v>
      </c>
      <c r="L106" s="15">
        <v>3727000</v>
      </c>
      <c r="M106" s="15">
        <v>3727000</v>
      </c>
      <c r="N106" s="15">
        <v>3727000</v>
      </c>
      <c r="O106" s="15">
        <v>3727000</v>
      </c>
      <c r="P106" s="15">
        <v>3727000</v>
      </c>
      <c r="Q106" s="15">
        <v>3727000</v>
      </c>
      <c r="R106" s="15">
        <v>3727000</v>
      </c>
      <c r="S106" s="15">
        <v>3727000</v>
      </c>
      <c r="T106" s="15">
        <v>3727000</v>
      </c>
      <c r="U106" s="15">
        <v>3727000</v>
      </c>
      <c r="V106" s="15">
        <v>3727000</v>
      </c>
      <c r="W106" s="15">
        <v>3727000</v>
      </c>
      <c r="X106" s="15">
        <v>3727000</v>
      </c>
    </row>
    <row r="107" spans="1:24" s="1" customFormat="1" x14ac:dyDescent="0.2">
      <c r="B107" s="31" t="s">
        <v>19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">
        <v>12</v>
      </c>
      <c r="P107" s="45">
        <f>1.1*O107</f>
        <v>13.200000000000001</v>
      </c>
      <c r="Q107" s="45">
        <f t="shared" ref="Q107:X107" si="62">1.1*P107</f>
        <v>14.520000000000003</v>
      </c>
      <c r="R107" s="45">
        <f t="shared" si="62"/>
        <v>15.972000000000005</v>
      </c>
      <c r="S107" s="45">
        <f t="shared" si="62"/>
        <v>17.569200000000006</v>
      </c>
      <c r="T107" s="45">
        <f t="shared" si="62"/>
        <v>19.326120000000007</v>
      </c>
      <c r="U107" s="45">
        <f t="shared" si="62"/>
        <v>21.258732000000009</v>
      </c>
      <c r="V107" s="45">
        <f t="shared" si="62"/>
        <v>23.384605200000014</v>
      </c>
      <c r="W107" s="45">
        <f t="shared" si="62"/>
        <v>25.723065720000015</v>
      </c>
      <c r="X107" s="45">
        <f t="shared" si="62"/>
        <v>28.295372292000017</v>
      </c>
    </row>
    <row r="108" spans="1:24" s="1" customFormat="1" x14ac:dyDescent="0.2">
      <c r="B108" s="31" t="s">
        <v>17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25">
        <f>O106*O107</f>
        <v>44724000</v>
      </c>
      <c r="P108" s="25">
        <f t="shared" ref="P108:X108" si="63">P106*P107</f>
        <v>49196400.000000007</v>
      </c>
      <c r="Q108" s="25">
        <f t="shared" si="63"/>
        <v>54116040.000000015</v>
      </c>
      <c r="R108" s="25">
        <f t="shared" si="63"/>
        <v>59527644.000000015</v>
      </c>
      <c r="S108" s="25">
        <f t="shared" si="63"/>
        <v>65480408.400000021</v>
      </c>
      <c r="T108" s="25">
        <f t="shared" si="63"/>
        <v>72028449.240000024</v>
      </c>
      <c r="U108" s="25">
        <f t="shared" si="63"/>
        <v>79231294.164000034</v>
      </c>
      <c r="V108" s="25">
        <f t="shared" si="63"/>
        <v>87154423.58040005</v>
      </c>
      <c r="W108" s="25">
        <f t="shared" si="63"/>
        <v>95869865.938440055</v>
      </c>
      <c r="X108" s="25">
        <f t="shared" si="63"/>
        <v>105456852.53228407</v>
      </c>
    </row>
    <row r="109" spans="1:24" s="1" customFormat="1" x14ac:dyDescent="0.2">
      <c r="B109" s="31" t="s">
        <v>18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42">
        <f>O104/O108</f>
        <v>3.598149577596612E-2</v>
      </c>
      <c r="P109" s="42">
        <f t="shared" ref="P109:X109" si="64">P104/P108</f>
        <v>4.0888063381779673E-2</v>
      </c>
      <c r="Q109" s="42">
        <f t="shared" si="64"/>
        <v>4.6463708388385989E-2</v>
      </c>
      <c r="R109" s="42">
        <f t="shared" si="64"/>
        <v>5.2799668623165902E-2</v>
      </c>
      <c r="S109" s="42">
        <f t="shared" si="64"/>
        <v>5.9999623435415789E-2</v>
      </c>
      <c r="T109" s="42">
        <f t="shared" si="64"/>
        <v>6.8181390267517947E-2</v>
      </c>
      <c r="U109" s="42">
        <f t="shared" si="64"/>
        <v>7.7478852576724933E-2</v>
      </c>
      <c r="V109" s="42">
        <f t="shared" si="64"/>
        <v>8.8044150655369219E-2</v>
      </c>
      <c r="W109" s="42">
        <f t="shared" si="64"/>
        <v>0.10005017119928321</v>
      </c>
      <c r="X109" s="42">
        <f t="shared" si="64"/>
        <v>0.11369337636282181</v>
      </c>
    </row>
    <row r="110" spans="1:24" s="2" customFormat="1" ht="15" x14ac:dyDescent="0.2">
      <c r="A110" s="2">
        <v>18</v>
      </c>
      <c r="B110" s="2" t="s">
        <v>20</v>
      </c>
      <c r="C110" s="11">
        <v>61084.409171075837</v>
      </c>
      <c r="D110" s="11">
        <v>72503.289013296016</v>
      </c>
      <c r="E110" s="11">
        <v>97427.94015309673</v>
      </c>
      <c r="F110" s="11">
        <v>101710.77989601386</v>
      </c>
      <c r="G110" s="11">
        <v>110137.81918564528</v>
      </c>
      <c r="H110" s="11">
        <v>94381.986301369863</v>
      </c>
      <c r="I110" s="11">
        <v>110000</v>
      </c>
      <c r="J110" s="11">
        <v>120000</v>
      </c>
      <c r="K110" s="11">
        <v>140000</v>
      </c>
      <c r="L110" s="11">
        <v>140000</v>
      </c>
      <c r="M110" s="11">
        <v>140000</v>
      </c>
      <c r="N110" s="11">
        <v>140000</v>
      </c>
      <c r="O110" s="22">
        <f>SUM(C110:N110)</f>
        <v>1327246.2237204975</v>
      </c>
      <c r="P110" s="22">
        <f>O110*(1+P111)</f>
        <v>1659057.7796506218</v>
      </c>
      <c r="Q110" s="22">
        <f t="shared" ref="Q110:X110" si="65">P110*(1+Q111)</f>
        <v>2073822.2245632773</v>
      </c>
      <c r="R110" s="22">
        <f t="shared" si="65"/>
        <v>2592277.7807040969</v>
      </c>
      <c r="S110" s="22">
        <f t="shared" si="65"/>
        <v>3240347.2258801209</v>
      </c>
      <c r="T110" s="22">
        <f t="shared" si="65"/>
        <v>4050434.0323501509</v>
      </c>
      <c r="U110" s="22">
        <f t="shared" si="65"/>
        <v>5063042.5404376891</v>
      </c>
      <c r="V110" s="22">
        <f t="shared" si="65"/>
        <v>6328803.1755471118</v>
      </c>
      <c r="W110" s="22">
        <f t="shared" si="65"/>
        <v>7911003.9694338897</v>
      </c>
      <c r="X110" s="22">
        <f t="shared" si="65"/>
        <v>9888754.9617923629</v>
      </c>
    </row>
    <row r="111" spans="1:24" s="2" customFormat="1" ht="15" x14ac:dyDescent="0.2">
      <c r="B111" s="36" t="s">
        <v>25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37">
        <v>0.25</v>
      </c>
      <c r="Q111" s="37">
        <v>0.25</v>
      </c>
      <c r="R111" s="37">
        <v>0.25</v>
      </c>
      <c r="S111" s="37">
        <v>0.25</v>
      </c>
      <c r="T111" s="37">
        <v>0.25</v>
      </c>
      <c r="U111" s="37">
        <v>0.25</v>
      </c>
      <c r="V111" s="37">
        <v>0.25</v>
      </c>
      <c r="W111" s="37">
        <v>0.25</v>
      </c>
      <c r="X111" s="37">
        <v>0.25</v>
      </c>
    </row>
    <row r="112" spans="1:24" s="1" customFormat="1" x14ac:dyDescent="0.2">
      <c r="B112" s="31" t="s">
        <v>16</v>
      </c>
      <c r="C112" s="15">
        <v>2748600</v>
      </c>
      <c r="D112" s="15">
        <v>2748600</v>
      </c>
      <c r="E112" s="15">
        <v>2748600</v>
      </c>
      <c r="F112" s="15">
        <v>2748600</v>
      </c>
      <c r="G112" s="15">
        <v>2748600</v>
      </c>
      <c r="H112" s="15">
        <v>2748600</v>
      </c>
      <c r="I112" s="15">
        <v>2748600</v>
      </c>
      <c r="J112" s="15">
        <v>2748600</v>
      </c>
      <c r="K112" s="15">
        <v>2748600</v>
      </c>
      <c r="L112" s="15">
        <v>2748600</v>
      </c>
      <c r="M112" s="15">
        <v>2748600</v>
      </c>
      <c r="N112" s="15">
        <v>2748600</v>
      </c>
      <c r="O112" s="15">
        <v>2748600</v>
      </c>
      <c r="P112" s="15">
        <v>2748600</v>
      </c>
      <c r="Q112" s="15">
        <v>2748600</v>
      </c>
      <c r="R112" s="15">
        <v>2748600</v>
      </c>
      <c r="S112" s="15">
        <v>2748600</v>
      </c>
      <c r="T112" s="15">
        <v>2748600</v>
      </c>
      <c r="U112" s="15">
        <v>2748600</v>
      </c>
      <c r="V112" s="15">
        <v>2748600</v>
      </c>
      <c r="W112" s="15">
        <v>2748600</v>
      </c>
      <c r="X112" s="15">
        <v>2748600</v>
      </c>
    </row>
    <row r="113" spans="1:24" s="1" customFormat="1" x14ac:dyDescent="0.2">
      <c r="B113" s="31" t="s">
        <v>19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">
        <v>20</v>
      </c>
      <c r="P113" s="45">
        <f>1.1*O113</f>
        <v>22</v>
      </c>
      <c r="Q113" s="45">
        <f t="shared" ref="Q113:X113" si="66">1.1*P113</f>
        <v>24.200000000000003</v>
      </c>
      <c r="R113" s="45">
        <f t="shared" si="66"/>
        <v>26.620000000000005</v>
      </c>
      <c r="S113" s="45">
        <f t="shared" si="66"/>
        <v>29.282000000000007</v>
      </c>
      <c r="T113" s="45">
        <f t="shared" si="66"/>
        <v>32.210200000000007</v>
      </c>
      <c r="U113" s="45">
        <f t="shared" si="66"/>
        <v>35.43122000000001</v>
      </c>
      <c r="V113" s="45">
        <f t="shared" si="66"/>
        <v>38.974342000000014</v>
      </c>
      <c r="W113" s="45">
        <f t="shared" si="66"/>
        <v>42.871776200000021</v>
      </c>
      <c r="X113" s="45">
        <f t="shared" si="66"/>
        <v>47.158953820000029</v>
      </c>
    </row>
    <row r="114" spans="1:24" s="1" customFormat="1" x14ac:dyDescent="0.2">
      <c r="B114" s="31" t="s">
        <v>17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25">
        <f>O112*O113</f>
        <v>54972000</v>
      </c>
      <c r="P114" s="25">
        <f>P112*P113</f>
        <v>60469200</v>
      </c>
      <c r="Q114" s="25">
        <f t="shared" ref="Q114:X114" si="67">Q112*Q113</f>
        <v>66516120.000000007</v>
      </c>
      <c r="R114" s="25">
        <f t="shared" si="67"/>
        <v>73167732.000000015</v>
      </c>
      <c r="S114" s="25">
        <f t="shared" si="67"/>
        <v>80484505.200000018</v>
      </c>
      <c r="T114" s="25">
        <f t="shared" si="67"/>
        <v>88532955.720000014</v>
      </c>
      <c r="U114" s="25">
        <f t="shared" si="67"/>
        <v>97386251.292000026</v>
      </c>
      <c r="V114" s="25">
        <f t="shared" si="67"/>
        <v>107124876.42120004</v>
      </c>
      <c r="W114" s="25">
        <f t="shared" si="67"/>
        <v>117837364.06332006</v>
      </c>
      <c r="X114" s="25">
        <f t="shared" si="67"/>
        <v>129621100.46965209</v>
      </c>
    </row>
    <row r="115" spans="1:24" s="1" customFormat="1" x14ac:dyDescent="0.2">
      <c r="B115" s="31" t="s">
        <v>18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42">
        <f>O110/O114</f>
        <v>2.4144041033989986E-2</v>
      </c>
      <c r="P115" s="42">
        <f>P110/P114</f>
        <v>2.7436410265897711E-2</v>
      </c>
      <c r="Q115" s="42">
        <f t="shared" ref="Q115:X115" si="68">Q110/Q114</f>
        <v>3.1177738938520123E-2</v>
      </c>
      <c r="R115" s="42">
        <f t="shared" si="68"/>
        <v>3.5429248793772863E-2</v>
      </c>
      <c r="S115" s="42">
        <f t="shared" si="68"/>
        <v>4.0260509992923708E-2</v>
      </c>
      <c r="T115" s="42">
        <f t="shared" si="68"/>
        <v>4.5750579537413308E-2</v>
      </c>
      <c r="U115" s="42">
        <f t="shared" si="68"/>
        <v>5.1989294928878757E-2</v>
      </c>
      <c r="V115" s="42">
        <f t="shared" si="68"/>
        <v>5.9078744237362223E-2</v>
      </c>
      <c r="W115" s="42">
        <f t="shared" si="68"/>
        <v>6.7134936633366157E-2</v>
      </c>
      <c r="X115" s="42">
        <f t="shared" si="68"/>
        <v>7.628970071973426E-2</v>
      </c>
    </row>
    <row r="116" spans="1:24" s="2" customFormat="1" ht="15" x14ac:dyDescent="0.2">
      <c r="A116" s="2">
        <v>19</v>
      </c>
      <c r="B116" s="2" t="s">
        <v>60</v>
      </c>
      <c r="C116" s="11">
        <v>56066.031746031746</v>
      </c>
      <c r="D116" s="11">
        <v>36238.768369489153</v>
      </c>
      <c r="E116" s="11">
        <v>56368.162839248434</v>
      </c>
      <c r="F116" s="11">
        <v>36811.646447140381</v>
      </c>
      <c r="G116" s="11">
        <v>36162.870945479641</v>
      </c>
      <c r="H116" s="11">
        <v>36889.589041095889</v>
      </c>
      <c r="I116" s="11">
        <v>50000</v>
      </c>
      <c r="J116" s="11">
        <v>60000</v>
      </c>
      <c r="K116" s="11">
        <v>70000</v>
      </c>
      <c r="L116" s="11">
        <v>70000</v>
      </c>
      <c r="M116" s="11">
        <v>70000</v>
      </c>
      <c r="N116" s="11">
        <v>70000</v>
      </c>
      <c r="O116" s="22">
        <f>SUM(C116:N116)</f>
        <v>648537.06938848528</v>
      </c>
      <c r="P116" s="22">
        <f>O116*(1+P117)</f>
        <v>875525.04367445514</v>
      </c>
      <c r="Q116" s="22">
        <f t="shared" ref="Q116:X116" si="69">P116*(1+Q117)</f>
        <v>1181958.8089605146</v>
      </c>
      <c r="R116" s="22">
        <f t="shared" si="69"/>
        <v>1595644.3920966948</v>
      </c>
      <c r="S116" s="22">
        <f t="shared" si="69"/>
        <v>2154119.929330538</v>
      </c>
      <c r="T116" s="22">
        <f t="shared" si="69"/>
        <v>2908061.9045962268</v>
      </c>
      <c r="U116" s="22">
        <f t="shared" si="69"/>
        <v>3925883.5712049063</v>
      </c>
      <c r="V116" s="22">
        <f t="shared" si="69"/>
        <v>5299942.821126624</v>
      </c>
      <c r="W116" s="22">
        <f t="shared" si="69"/>
        <v>7154922.8085209429</v>
      </c>
      <c r="X116" s="22">
        <f t="shared" si="69"/>
        <v>9659145.791503273</v>
      </c>
    </row>
    <row r="117" spans="1:24" s="2" customFormat="1" ht="15" x14ac:dyDescent="0.2">
      <c r="B117" s="36" t="s">
        <v>25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37">
        <v>0.35</v>
      </c>
      <c r="Q117" s="37">
        <v>0.35</v>
      </c>
      <c r="R117" s="37">
        <v>0.35</v>
      </c>
      <c r="S117" s="37">
        <v>0.35</v>
      </c>
      <c r="T117" s="37">
        <v>0.35</v>
      </c>
      <c r="U117" s="37">
        <v>0.35</v>
      </c>
      <c r="V117" s="37">
        <v>0.35</v>
      </c>
      <c r="W117" s="37">
        <v>0.35</v>
      </c>
      <c r="X117" s="37">
        <v>0.35</v>
      </c>
    </row>
    <row r="118" spans="1:24" s="1" customFormat="1" x14ac:dyDescent="0.2">
      <c r="B118" s="31" t="s">
        <v>16</v>
      </c>
      <c r="C118" s="15">
        <v>5044000</v>
      </c>
      <c r="D118" s="15">
        <v>5044000</v>
      </c>
      <c r="E118" s="15">
        <v>5044000</v>
      </c>
      <c r="F118" s="15">
        <v>5044000</v>
      </c>
      <c r="G118" s="15">
        <v>5044000</v>
      </c>
      <c r="H118" s="15">
        <v>5044000</v>
      </c>
      <c r="I118" s="15">
        <v>5044000</v>
      </c>
      <c r="J118" s="15">
        <v>5044000</v>
      </c>
      <c r="K118" s="15">
        <v>5044000</v>
      </c>
      <c r="L118" s="15">
        <v>5044000</v>
      </c>
      <c r="M118" s="15">
        <v>5044000</v>
      </c>
      <c r="N118" s="15">
        <v>5044000</v>
      </c>
      <c r="O118" s="15">
        <v>5044000</v>
      </c>
      <c r="P118" s="15">
        <v>5044000</v>
      </c>
      <c r="Q118" s="15">
        <v>5044000</v>
      </c>
      <c r="R118" s="15">
        <v>5044000</v>
      </c>
      <c r="S118" s="15">
        <v>5044000</v>
      </c>
      <c r="T118" s="15">
        <v>5044000</v>
      </c>
      <c r="U118" s="15">
        <v>5044000</v>
      </c>
      <c r="V118" s="15">
        <v>5044000</v>
      </c>
      <c r="W118" s="15">
        <v>5044000</v>
      </c>
      <c r="X118" s="15">
        <v>5044000</v>
      </c>
    </row>
    <row r="119" spans="1:24" s="1" customFormat="1" x14ac:dyDescent="0.2">
      <c r="B119" s="31" t="s">
        <v>19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">
        <v>14</v>
      </c>
      <c r="P119" s="45">
        <f>1.1*O119</f>
        <v>15.400000000000002</v>
      </c>
      <c r="Q119" s="45">
        <f t="shared" ref="Q119:X119" si="70">1.1*P119</f>
        <v>16.940000000000005</v>
      </c>
      <c r="R119" s="45">
        <f t="shared" si="70"/>
        <v>18.634000000000007</v>
      </c>
      <c r="S119" s="45">
        <f t="shared" si="70"/>
        <v>20.49740000000001</v>
      </c>
      <c r="T119" s="45">
        <f t="shared" si="70"/>
        <v>22.547140000000013</v>
      </c>
      <c r="U119" s="45">
        <f t="shared" si="70"/>
        <v>24.801854000000016</v>
      </c>
      <c r="V119" s="45">
        <f t="shared" si="70"/>
        <v>27.28203940000002</v>
      </c>
      <c r="W119" s="45">
        <f t="shared" si="70"/>
        <v>30.010243340000024</v>
      </c>
      <c r="X119" s="45">
        <f t="shared" si="70"/>
        <v>33.011267674000031</v>
      </c>
    </row>
    <row r="120" spans="1:24" s="1" customFormat="1" x14ac:dyDescent="0.2">
      <c r="B120" s="31" t="s">
        <v>17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25">
        <f>O118*O119</f>
        <v>70616000</v>
      </c>
      <c r="P120" s="25">
        <f>P118*P119</f>
        <v>77677600.000000015</v>
      </c>
      <c r="Q120" s="25">
        <f t="shared" ref="Q120:X120" si="71">Q118*Q119</f>
        <v>85445360.00000003</v>
      </c>
      <c r="R120" s="25">
        <f t="shared" si="71"/>
        <v>93989896.000000045</v>
      </c>
      <c r="S120" s="25">
        <f t="shared" si="71"/>
        <v>103388885.60000005</v>
      </c>
      <c r="T120" s="25">
        <f t="shared" si="71"/>
        <v>113727774.16000007</v>
      </c>
      <c r="U120" s="25">
        <f t="shared" si="71"/>
        <v>125100551.57600008</v>
      </c>
      <c r="V120" s="25">
        <f t="shared" si="71"/>
        <v>137610606.73360011</v>
      </c>
      <c r="W120" s="25">
        <f t="shared" si="71"/>
        <v>151371667.40696013</v>
      </c>
      <c r="X120" s="25">
        <f t="shared" si="71"/>
        <v>166508834.14765614</v>
      </c>
    </row>
    <row r="121" spans="1:24" s="1" customFormat="1" x14ac:dyDescent="0.2">
      <c r="B121" s="31" t="s">
        <v>18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42">
        <f>O116/O120</f>
        <v>9.1839961111998027E-3</v>
      </c>
      <c r="P121" s="42">
        <f>P116/P120</f>
        <v>1.1271267954654302E-2</v>
      </c>
      <c r="Q121" s="42">
        <f t="shared" ref="Q121:X121" si="72">Q116/Q120</f>
        <v>1.3832919762530279E-2</v>
      </c>
      <c r="R121" s="42">
        <f t="shared" si="72"/>
        <v>1.697676516310534E-2</v>
      </c>
      <c r="S121" s="42">
        <f t="shared" si="72"/>
        <v>2.0835120881992918E-2</v>
      </c>
      <c r="T121" s="42">
        <f t="shared" si="72"/>
        <v>2.5570375627900401E-2</v>
      </c>
      <c r="U121" s="42">
        <f t="shared" si="72"/>
        <v>3.1381824634241405E-2</v>
      </c>
      <c r="V121" s="42">
        <f t="shared" si="72"/>
        <v>3.85140575056599E-2</v>
      </c>
      <c r="W121" s="42">
        <f t="shared" si="72"/>
        <v>4.726725239330988E-2</v>
      </c>
      <c r="X121" s="42">
        <f t="shared" si="72"/>
        <v>5.8009809755425759E-2</v>
      </c>
    </row>
    <row r="122" spans="1:24" s="2" customFormat="1" ht="15" x14ac:dyDescent="0.2">
      <c r="A122" s="2">
        <v>20</v>
      </c>
      <c r="B122" s="2" t="s">
        <v>62</v>
      </c>
      <c r="C122" s="11">
        <v>197308.88888888888</v>
      </c>
      <c r="D122" s="11">
        <v>172265.85024492652</v>
      </c>
      <c r="E122" s="11">
        <v>398851</v>
      </c>
      <c r="F122" s="11">
        <v>339201.52512998268</v>
      </c>
      <c r="G122" s="11">
        <v>363819.87577639753</v>
      </c>
      <c r="H122" s="11">
        <v>90714.246575342462</v>
      </c>
      <c r="I122" s="11">
        <v>120000</v>
      </c>
      <c r="J122" s="11">
        <v>150000</v>
      </c>
      <c r="K122" s="11">
        <v>200000</v>
      </c>
      <c r="L122" s="11">
        <v>250000</v>
      </c>
      <c r="M122" s="11">
        <v>300000</v>
      </c>
      <c r="N122" s="11">
        <v>400000</v>
      </c>
      <c r="O122" s="22">
        <f>SUM(C122:N122)</f>
        <v>2982161.386615538</v>
      </c>
      <c r="P122" s="22">
        <f>O122*(1+P123)</f>
        <v>3429485.5946078687</v>
      </c>
      <c r="Q122" s="22">
        <f t="shared" ref="Q122:X122" si="73">P122*(1+Q123)</f>
        <v>3943908.4337990489</v>
      </c>
      <c r="R122" s="22">
        <f t="shared" si="73"/>
        <v>4535494.6988689061</v>
      </c>
      <c r="S122" s="22">
        <f t="shared" si="73"/>
        <v>5215818.9036992416</v>
      </c>
      <c r="T122" s="22">
        <f t="shared" si="73"/>
        <v>5998191.7392541273</v>
      </c>
      <c r="U122" s="22">
        <f t="shared" si="73"/>
        <v>6897920.5001422456</v>
      </c>
      <c r="V122" s="22">
        <f t="shared" si="73"/>
        <v>7932608.5751635814</v>
      </c>
      <c r="W122" s="22">
        <f t="shared" si="73"/>
        <v>9122499.8614381179</v>
      </c>
      <c r="X122" s="22">
        <f t="shared" si="73"/>
        <v>10490874.840653835</v>
      </c>
    </row>
    <row r="123" spans="1:24" s="2" customFormat="1" ht="15" x14ac:dyDescent="0.2">
      <c r="B123" s="36" t="s">
        <v>25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37">
        <v>0.15</v>
      </c>
      <c r="Q123" s="37">
        <v>0.15</v>
      </c>
      <c r="R123" s="37">
        <v>0.15</v>
      </c>
      <c r="S123" s="37">
        <v>0.15</v>
      </c>
      <c r="T123" s="37">
        <v>0.15</v>
      </c>
      <c r="U123" s="37">
        <v>0.15</v>
      </c>
      <c r="V123" s="37">
        <v>0.15</v>
      </c>
      <c r="W123" s="37">
        <v>0.15</v>
      </c>
      <c r="X123" s="37">
        <v>0.15</v>
      </c>
    </row>
    <row r="124" spans="1:24" s="1" customFormat="1" x14ac:dyDescent="0.2">
      <c r="B124" s="31" t="s">
        <v>16</v>
      </c>
      <c r="C124" s="15">
        <v>3973100</v>
      </c>
      <c r="D124" s="15">
        <v>3973100</v>
      </c>
      <c r="E124" s="15">
        <v>3973100</v>
      </c>
      <c r="F124" s="15">
        <v>3973100</v>
      </c>
      <c r="G124" s="15">
        <v>3973100</v>
      </c>
      <c r="H124" s="15">
        <v>3973100</v>
      </c>
      <c r="I124" s="15">
        <v>3973100</v>
      </c>
      <c r="J124" s="15">
        <v>3973100</v>
      </c>
      <c r="K124" s="15">
        <v>3973100</v>
      </c>
      <c r="L124" s="15">
        <v>3973100</v>
      </c>
      <c r="M124" s="15">
        <v>3973100</v>
      </c>
      <c r="N124" s="15">
        <v>3973100</v>
      </c>
      <c r="O124" s="15">
        <v>3973100</v>
      </c>
      <c r="P124" s="15">
        <v>3973100</v>
      </c>
      <c r="Q124" s="15">
        <v>3973100</v>
      </c>
      <c r="R124" s="15">
        <v>3973100</v>
      </c>
      <c r="S124" s="15">
        <v>3973100</v>
      </c>
      <c r="T124" s="15">
        <v>3973100</v>
      </c>
      <c r="U124" s="15">
        <v>3973100</v>
      </c>
      <c r="V124" s="15">
        <v>3973100</v>
      </c>
      <c r="W124" s="15">
        <v>3973100</v>
      </c>
      <c r="X124" s="15">
        <v>3973100</v>
      </c>
    </row>
    <row r="125" spans="1:24" s="1" customFormat="1" x14ac:dyDescent="0.2">
      <c r="B125" s="31" t="s">
        <v>19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">
        <v>11</v>
      </c>
      <c r="P125" s="45">
        <f>1.1*O125</f>
        <v>12.100000000000001</v>
      </c>
      <c r="Q125" s="45">
        <f t="shared" ref="Q125:X125" si="74">1.1*P125</f>
        <v>13.310000000000002</v>
      </c>
      <c r="R125" s="45">
        <f t="shared" si="74"/>
        <v>14.641000000000004</v>
      </c>
      <c r="S125" s="45">
        <f t="shared" si="74"/>
        <v>16.105100000000004</v>
      </c>
      <c r="T125" s="45">
        <f t="shared" si="74"/>
        <v>17.715610000000005</v>
      </c>
      <c r="U125" s="45">
        <f t="shared" si="74"/>
        <v>19.487171000000007</v>
      </c>
      <c r="V125" s="45">
        <f t="shared" si="74"/>
        <v>21.43588810000001</v>
      </c>
      <c r="W125" s="45">
        <f t="shared" si="74"/>
        <v>23.579476910000015</v>
      </c>
      <c r="X125" s="45">
        <f t="shared" si="74"/>
        <v>25.937424601000018</v>
      </c>
    </row>
    <row r="126" spans="1:24" s="1" customFormat="1" x14ac:dyDescent="0.2">
      <c r="B126" s="31" t="s">
        <v>17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25">
        <f>O124*O125</f>
        <v>43704100</v>
      </c>
      <c r="P126" s="25">
        <f>P124*P125</f>
        <v>48074510.000000007</v>
      </c>
      <c r="Q126" s="25">
        <f t="shared" ref="Q126:X126" si="75">Q124*Q125</f>
        <v>52881961.000000007</v>
      </c>
      <c r="R126" s="25">
        <f t="shared" si="75"/>
        <v>58170157.100000016</v>
      </c>
      <c r="S126" s="25">
        <f t="shared" si="75"/>
        <v>63987172.810000017</v>
      </c>
      <c r="T126" s="25">
        <f t="shared" si="75"/>
        <v>70385890.091000021</v>
      </c>
      <c r="U126" s="25">
        <f t="shared" si="75"/>
        <v>77424479.100100026</v>
      </c>
      <c r="V126" s="25">
        <f t="shared" si="75"/>
        <v>85166927.010110036</v>
      </c>
      <c r="W126" s="25">
        <f t="shared" si="75"/>
        <v>93683619.711121053</v>
      </c>
      <c r="X126" s="25">
        <f t="shared" si="75"/>
        <v>103051981.68223317</v>
      </c>
    </row>
    <row r="127" spans="1:24" s="1" customFormat="1" x14ac:dyDescent="0.2">
      <c r="B127" s="31" t="s">
        <v>18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42">
        <f>O122/O126</f>
        <v>6.8235277390806315E-2</v>
      </c>
      <c r="P127" s="42">
        <f>P122/P126</f>
        <v>7.1336880908570224E-2</v>
      </c>
      <c r="Q127" s="42">
        <f t="shared" ref="Q127:X127" si="76">Q122/Q126</f>
        <v>7.4579466404414319E-2</v>
      </c>
      <c r="R127" s="42">
        <f t="shared" si="76"/>
        <v>7.7969442150069498E-2</v>
      </c>
      <c r="S127" s="42">
        <f t="shared" si="76"/>
        <v>8.1513507702345389E-2</v>
      </c>
      <c r="T127" s="42">
        <f t="shared" si="76"/>
        <v>8.5218667143361071E-2</v>
      </c>
      <c r="U127" s="42">
        <f t="shared" si="76"/>
        <v>8.9092242922604745E-2</v>
      </c>
      <c r="V127" s="42">
        <f t="shared" si="76"/>
        <v>9.3141890328177671E-2</v>
      </c>
      <c r="W127" s="42">
        <f t="shared" si="76"/>
        <v>9.7375612615822088E-2</v>
      </c>
      <c r="X127" s="42">
        <f t="shared" si="76"/>
        <v>0.10180177682563216</v>
      </c>
    </row>
    <row r="128" spans="1:24" s="2" customFormat="1" ht="15" x14ac:dyDescent="0.2">
      <c r="A128" s="2">
        <v>21</v>
      </c>
      <c r="B128" s="2" t="s">
        <v>61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22">
        <f>SUM(C128:N128)</f>
        <v>0</v>
      </c>
      <c r="P128" s="22">
        <v>300000</v>
      </c>
      <c r="Q128" s="22">
        <f t="shared" ref="Q128:X128" si="77">P128*(1+Q129)</f>
        <v>630000</v>
      </c>
      <c r="R128" s="22">
        <f t="shared" si="77"/>
        <v>1071000</v>
      </c>
      <c r="S128" s="22">
        <f t="shared" si="77"/>
        <v>1606500</v>
      </c>
      <c r="T128" s="22">
        <f t="shared" si="77"/>
        <v>2168775</v>
      </c>
      <c r="U128" s="22">
        <f t="shared" si="77"/>
        <v>2927846.25</v>
      </c>
      <c r="V128" s="22">
        <f t="shared" si="77"/>
        <v>3952592.4375000005</v>
      </c>
      <c r="W128" s="22">
        <f t="shared" si="77"/>
        <v>5335999.7906250013</v>
      </c>
      <c r="X128" s="22">
        <f t="shared" si="77"/>
        <v>7203599.7173437523</v>
      </c>
    </row>
    <row r="129" spans="1:24" ht="15" x14ac:dyDescent="0.2">
      <c r="B129" s="36" t="s">
        <v>25</v>
      </c>
      <c r="O129" s="2"/>
      <c r="P129" s="37"/>
      <c r="Q129" s="37">
        <v>1.1000000000000001</v>
      </c>
      <c r="R129" s="37">
        <v>0.7</v>
      </c>
      <c r="S129" s="37">
        <v>0.5</v>
      </c>
      <c r="T129" s="37">
        <v>0.35</v>
      </c>
      <c r="U129" s="37">
        <v>0.35</v>
      </c>
      <c r="V129" s="37">
        <v>0.35</v>
      </c>
      <c r="W129" s="37">
        <v>0.35</v>
      </c>
      <c r="X129" s="37">
        <v>0.35</v>
      </c>
    </row>
    <row r="130" spans="1:24" s="1" customFormat="1" x14ac:dyDescent="0.2">
      <c r="B130" s="31" t="s">
        <v>16</v>
      </c>
      <c r="C130" s="15">
        <v>3297000</v>
      </c>
      <c r="D130" s="15">
        <v>3297000</v>
      </c>
      <c r="E130" s="15">
        <v>3297000</v>
      </c>
      <c r="F130" s="15">
        <v>3297000</v>
      </c>
      <c r="G130" s="15">
        <v>3297000</v>
      </c>
      <c r="H130" s="15">
        <v>3297000</v>
      </c>
      <c r="I130" s="15">
        <v>3297000</v>
      </c>
      <c r="J130" s="15">
        <v>3297000</v>
      </c>
      <c r="K130" s="15">
        <v>3297000</v>
      </c>
      <c r="L130" s="15">
        <v>3297000</v>
      </c>
      <c r="M130" s="15">
        <v>3297000</v>
      </c>
      <c r="N130" s="15">
        <v>3297000</v>
      </c>
      <c r="O130" s="15">
        <v>3297000</v>
      </c>
      <c r="P130" s="15">
        <v>3297000</v>
      </c>
      <c r="Q130" s="15">
        <v>3297000</v>
      </c>
      <c r="R130" s="15">
        <v>3297000</v>
      </c>
      <c r="S130" s="15">
        <v>3297000</v>
      </c>
      <c r="T130" s="15">
        <v>3297000</v>
      </c>
      <c r="U130" s="15">
        <v>3297000</v>
      </c>
      <c r="V130" s="15">
        <v>3297000</v>
      </c>
      <c r="W130" s="15">
        <v>3297000</v>
      </c>
      <c r="X130" s="15">
        <v>3297000</v>
      </c>
    </row>
    <row r="131" spans="1:24" s="1" customFormat="1" x14ac:dyDescent="0.2">
      <c r="B131" s="31" t="s">
        <v>19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">
        <v>13</v>
      </c>
      <c r="P131" s="45">
        <f>1.1*O131</f>
        <v>14.3</v>
      </c>
      <c r="Q131" s="45">
        <f t="shared" ref="Q131:X131" si="78">1.1*P131</f>
        <v>15.730000000000002</v>
      </c>
      <c r="R131" s="45">
        <f t="shared" si="78"/>
        <v>17.303000000000004</v>
      </c>
      <c r="S131" s="45">
        <f t="shared" si="78"/>
        <v>19.033300000000008</v>
      </c>
      <c r="T131" s="45">
        <f t="shared" si="78"/>
        <v>20.936630000000012</v>
      </c>
      <c r="U131" s="45">
        <f t="shared" si="78"/>
        <v>23.030293000000015</v>
      </c>
      <c r="V131" s="45">
        <f t="shared" si="78"/>
        <v>25.333322300000017</v>
      </c>
      <c r="W131" s="45">
        <f t="shared" si="78"/>
        <v>27.866654530000019</v>
      </c>
      <c r="X131" s="45">
        <f t="shared" si="78"/>
        <v>30.653319983000024</v>
      </c>
    </row>
    <row r="132" spans="1:24" s="1" customFormat="1" x14ac:dyDescent="0.2">
      <c r="B132" s="31" t="s">
        <v>17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25">
        <f>O130*O131</f>
        <v>42861000</v>
      </c>
      <c r="P132" s="25">
        <f>P130*P131</f>
        <v>47147100</v>
      </c>
      <c r="Q132" s="25">
        <f t="shared" ref="Q132:X132" si="79">Q130*Q131</f>
        <v>51861810.000000007</v>
      </c>
      <c r="R132" s="25">
        <f t="shared" si="79"/>
        <v>57047991.000000015</v>
      </c>
      <c r="S132" s="25">
        <f t="shared" si="79"/>
        <v>62752790.100000024</v>
      </c>
      <c r="T132" s="25">
        <f t="shared" si="79"/>
        <v>69028069.110000044</v>
      </c>
      <c r="U132" s="25">
        <f t="shared" si="79"/>
        <v>75930876.021000043</v>
      </c>
      <c r="V132" s="25">
        <f t="shared" si="79"/>
        <v>83523963.623100057</v>
      </c>
      <c r="W132" s="25">
        <f t="shared" si="79"/>
        <v>91876359.985410064</v>
      </c>
      <c r="X132" s="25">
        <f t="shared" si="79"/>
        <v>101063995.98395108</v>
      </c>
    </row>
    <row r="133" spans="1:24" s="1" customFormat="1" x14ac:dyDescent="0.2">
      <c r="B133" s="31" t="s">
        <v>18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42">
        <f>O128/O132</f>
        <v>0</v>
      </c>
      <c r="P133" s="42">
        <f>P128/P132</f>
        <v>6.3630636879044526E-3</v>
      </c>
      <c r="Q133" s="42">
        <f t="shared" ref="Q133:X133" si="80">Q128/Q132</f>
        <v>1.2147667040544862E-2</v>
      </c>
      <c r="R133" s="42">
        <f t="shared" si="80"/>
        <v>1.8773667244478421E-2</v>
      </c>
      <c r="S133" s="42">
        <f t="shared" si="80"/>
        <v>2.5600455333379662E-2</v>
      </c>
      <c r="T133" s="42">
        <f t="shared" si="80"/>
        <v>3.1418740636420486E-2</v>
      </c>
      <c r="U133" s="42">
        <f t="shared" si="80"/>
        <v>3.8559363508334235E-2</v>
      </c>
      <c r="V133" s="42">
        <f t="shared" si="80"/>
        <v>4.7322855214773835E-2</v>
      </c>
      <c r="W133" s="42">
        <f t="shared" si="80"/>
        <v>5.807804958176789E-2</v>
      </c>
      <c r="X133" s="42">
        <f t="shared" si="80"/>
        <v>7.1277606304896962E-2</v>
      </c>
    </row>
    <row r="134" spans="1:24" x14ac:dyDescent="0.2">
      <c r="B134" s="31"/>
    </row>
    <row r="135" spans="1:24" s="2" customFormat="1" ht="15.75" x14ac:dyDescent="0.25">
      <c r="B135" s="6" t="s">
        <v>0</v>
      </c>
      <c r="C135" s="11">
        <f>C128+C122+C116+C110+C104+C98+C92+C86+C80+C74+C68++C62+C56+C50+C44+C38+C32+C26+C20+C14+C8</f>
        <v>5427080.9223985896</v>
      </c>
      <c r="D135" s="11">
        <f t="shared" ref="D135:X135" si="81">D128+D122+D116+D110+D104+D98+D92+D86+D80+D74+D68++D62+D56+D50+D44+D38+D32+D26+D20+D14+D8</f>
        <v>5351200.3086074181</v>
      </c>
      <c r="E135" s="11">
        <f t="shared" si="81"/>
        <v>5374204.5768963117</v>
      </c>
      <c r="F135" s="11">
        <f t="shared" si="81"/>
        <v>4736244.6793760825</v>
      </c>
      <c r="G135" s="11">
        <f t="shared" si="81"/>
        <v>4885753.8992408561</v>
      </c>
      <c r="H135" s="11">
        <f t="shared" si="81"/>
        <v>4400301.7808219176</v>
      </c>
      <c r="I135" s="11">
        <f t="shared" si="81"/>
        <v>4950000</v>
      </c>
      <c r="J135" s="11">
        <f t="shared" si="81"/>
        <v>5585000</v>
      </c>
      <c r="K135" s="11">
        <f t="shared" si="81"/>
        <v>6050000</v>
      </c>
      <c r="L135" s="11">
        <f t="shared" si="81"/>
        <v>6250000</v>
      </c>
      <c r="M135" s="11">
        <f t="shared" si="81"/>
        <v>6400000</v>
      </c>
      <c r="N135" s="11">
        <f t="shared" si="81"/>
        <v>6600000</v>
      </c>
      <c r="O135" s="11">
        <f t="shared" si="81"/>
        <v>66009786.16734118</v>
      </c>
      <c r="P135" s="11">
        <f t="shared" si="81"/>
        <v>78858462.417984858</v>
      </c>
      <c r="Q135" s="11">
        <f t="shared" si="81"/>
        <v>94775195.888549104</v>
      </c>
      <c r="R135" s="11">
        <f t="shared" si="81"/>
        <v>114176440.41984448</v>
      </c>
      <c r="S135" s="11">
        <f t="shared" si="81"/>
        <v>138860174.76522231</v>
      </c>
      <c r="T135" s="11">
        <f t="shared" si="81"/>
        <v>168983319.74835286</v>
      </c>
      <c r="U135" s="11">
        <f t="shared" si="81"/>
        <v>205984505.37336776</v>
      </c>
      <c r="V135" s="11">
        <f t="shared" si="81"/>
        <v>251510796.98236507</v>
      </c>
      <c r="W135" s="11">
        <f t="shared" si="81"/>
        <v>307621294.78216654</v>
      </c>
      <c r="X135" s="11">
        <f t="shared" si="81"/>
        <v>376894419.87707037</v>
      </c>
    </row>
    <row r="136" spans="1:24" s="1" customFormat="1" x14ac:dyDescent="0.2">
      <c r="B136" s="36" t="s">
        <v>25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P136" s="14">
        <f>P135/O135-1</f>
        <v>0.19464805139757679</v>
      </c>
      <c r="Q136" s="14">
        <f t="shared" ref="Q136:X136" si="82">Q135/P135-1</f>
        <v>0.20183925710088646</v>
      </c>
      <c r="R136" s="14">
        <f t="shared" si="82"/>
        <v>0.20470803937045168</v>
      </c>
      <c r="S136" s="14">
        <f t="shared" si="82"/>
        <v>0.21618938420756439</v>
      </c>
      <c r="T136" s="14">
        <f t="shared" si="82"/>
        <v>0.21693149266203382</v>
      </c>
      <c r="U136" s="14">
        <f t="shared" si="82"/>
        <v>0.21896353841382954</v>
      </c>
      <c r="V136" s="14">
        <f t="shared" si="82"/>
        <v>0.22101803981069512</v>
      </c>
      <c r="W136" s="14">
        <f t="shared" si="82"/>
        <v>0.22309379347931424</v>
      </c>
      <c r="X136" s="14">
        <f t="shared" si="82"/>
        <v>0.22518962851371405</v>
      </c>
    </row>
    <row r="137" spans="1:24" s="2" customFormat="1" ht="15" x14ac:dyDescent="0.2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24" s="2" customFormat="1" ht="15" x14ac:dyDescent="0.2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24" s="2" customFormat="1" ht="15" x14ac:dyDescent="0.2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24" s="2" customFormat="1" ht="15" x14ac:dyDescent="0.2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24" s="2" customFormat="1" ht="15" x14ac:dyDescent="0.2">
      <c r="B141" s="3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24" s="2" customFormat="1" ht="15" x14ac:dyDescent="0.2">
      <c r="B142" s="3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24" s="2" customFormat="1" ht="15" x14ac:dyDescent="0.2"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24" ht="15" x14ac:dyDescent="0.2">
      <c r="A144" s="2"/>
      <c r="B144" s="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">
      <c r="A145" s="2"/>
      <c r="B145" s="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">
      <c r="A146" s="2"/>
      <c r="B146" s="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8" spans="1:24" ht="15" x14ac:dyDescent="0.2">
      <c r="A148" s="2"/>
      <c r="B148" s="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">
      <c r="A149" s="2"/>
      <c r="B149" s="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">
      <c r="A150" s="2"/>
      <c r="B150" s="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"/>
      <c r="P150" s="2"/>
      <c r="Q150" s="2"/>
      <c r="R150" s="2"/>
      <c r="S150" s="2"/>
      <c r="T150" s="2"/>
      <c r="U150" s="2"/>
      <c r="V150" s="2"/>
      <c r="W150" s="2"/>
      <c r="X150" s="2"/>
    </row>
  </sheetData>
  <mergeCells count="1">
    <mergeCell ref="J5:X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1"/>
  <sheetViews>
    <sheetView zoomScaleNormal="100" workbookViewId="0">
      <pane xSplit="6" ySplit="2" topLeftCell="I3" activePane="bottomRight" state="frozen"/>
      <selection pane="topRight" activeCell="G1" sqref="G1"/>
      <selection pane="bottomLeft" activeCell="A5" sqref="A5"/>
      <selection pane="bottomRight" activeCell="L13" sqref="L13"/>
    </sheetView>
  </sheetViews>
  <sheetFormatPr defaultRowHeight="12.75" x14ac:dyDescent="0.2"/>
  <cols>
    <col min="1" max="1" width="3.140625" customWidth="1"/>
    <col min="2" max="2" width="62.5703125" customWidth="1"/>
    <col min="3" max="3" width="17.28515625" hidden="1" customWidth="1"/>
    <col min="4" max="4" width="16.28515625" hidden="1" customWidth="1"/>
    <col min="5" max="5" width="17.140625" hidden="1" customWidth="1"/>
    <col min="6" max="6" width="15.5703125" hidden="1" customWidth="1"/>
    <col min="7" max="7" width="16.5703125" customWidth="1"/>
    <col min="8" max="8" width="16.85546875" customWidth="1"/>
    <col min="9" max="9" width="15.7109375" customWidth="1"/>
    <col min="10" max="10" width="16.85546875" customWidth="1"/>
    <col min="11" max="11" width="19" customWidth="1"/>
    <col min="12" max="12" width="17.140625" customWidth="1"/>
    <col min="13" max="13" width="18.28515625" customWidth="1"/>
    <col min="14" max="15" width="17" customWidth="1"/>
    <col min="16" max="16" width="18" customWidth="1"/>
  </cols>
  <sheetData>
    <row r="1" spans="1:41" ht="15.75" x14ac:dyDescent="0.25">
      <c r="A1" s="3" t="s">
        <v>102</v>
      </c>
    </row>
    <row r="2" spans="1:41" s="2" customFormat="1" ht="31.5" x14ac:dyDescent="0.25">
      <c r="A2" s="1" t="s">
        <v>6</v>
      </c>
      <c r="C2" s="38" t="s">
        <v>26</v>
      </c>
      <c r="D2" s="38" t="s">
        <v>27</v>
      </c>
      <c r="E2" s="38" t="s">
        <v>28</v>
      </c>
      <c r="F2" s="38" t="s">
        <v>29</v>
      </c>
      <c r="G2" s="12">
        <f>Продажи!O6</f>
        <v>2003</v>
      </c>
      <c r="H2" s="12">
        <f>Продажи!P6</f>
        <v>2004</v>
      </c>
      <c r="I2" s="12">
        <f>Продажи!Q6</f>
        <v>2005</v>
      </c>
      <c r="J2" s="12">
        <f>Продажи!R6</f>
        <v>2006</v>
      </c>
      <c r="K2" s="12">
        <f>Продажи!S6</f>
        <v>2007</v>
      </c>
      <c r="L2" s="12">
        <f>Продажи!T6</f>
        <v>2008</v>
      </c>
      <c r="M2" s="12">
        <f>Продажи!U6</f>
        <v>2009</v>
      </c>
      <c r="N2" s="12">
        <f>Продажи!V6</f>
        <v>2010</v>
      </c>
      <c r="O2" s="12">
        <f>Продажи!W6</f>
        <v>2011</v>
      </c>
      <c r="P2" s="12">
        <f>Продажи!X6</f>
        <v>2012</v>
      </c>
    </row>
    <row r="4" spans="1:41" ht="12.75" customHeight="1" x14ac:dyDescent="0.2">
      <c r="B4" s="1"/>
      <c r="C4" s="14"/>
      <c r="D4" s="14"/>
      <c r="E4" s="14"/>
      <c r="F4" s="14"/>
      <c r="G4" s="14"/>
      <c r="I4" s="14"/>
      <c r="J4" s="14"/>
      <c r="K4" s="14"/>
      <c r="L4" s="14"/>
    </row>
    <row r="5" spans="1:41" s="3" customFormat="1" ht="15.75" x14ac:dyDescent="0.25">
      <c r="B5" s="6" t="s">
        <v>103</v>
      </c>
      <c r="C5" s="13">
        <f>Продажи!C135+Продажи!D135+Продажи!E135</f>
        <v>16152485.807902319</v>
      </c>
      <c r="D5" s="13">
        <f>Продажи!F135+Продажи!G135+Продажи!H135</f>
        <v>14022300.359438857</v>
      </c>
      <c r="E5" s="13">
        <f>Продажи!I135+Продажи!J135+Продажи!K135</f>
        <v>16585000</v>
      </c>
      <c r="F5" s="13">
        <f>Продажи!N135+Продажи!M135+Продажи!L135</f>
        <v>19250000</v>
      </c>
      <c r="G5" s="13">
        <f>Продажи!O135</f>
        <v>66009786.16734118</v>
      </c>
      <c r="H5" s="13">
        <f>Продажи!P135</f>
        <v>78858462.417984858</v>
      </c>
      <c r="I5" s="13">
        <f>Продажи!Q135</f>
        <v>94775195.888549104</v>
      </c>
      <c r="J5" s="13">
        <f>Продажи!R135</f>
        <v>114176440.41984448</v>
      </c>
      <c r="K5" s="13">
        <f>Продажи!S135</f>
        <v>138860174.76522231</v>
      </c>
      <c r="L5" s="13">
        <f>Продажи!T135</f>
        <v>168983319.74835286</v>
      </c>
      <c r="M5" s="13">
        <f>Продажи!U135</f>
        <v>205984505.37336776</v>
      </c>
      <c r="N5" s="13">
        <f>Продажи!V135</f>
        <v>251510796.98236507</v>
      </c>
      <c r="O5" s="13">
        <f>Продажи!W135</f>
        <v>307621294.78216654</v>
      </c>
      <c r="P5" s="13">
        <f>Продажи!X135</f>
        <v>376894419.87707037</v>
      </c>
    </row>
    <row r="6" spans="1:41" s="14" customFormat="1" x14ac:dyDescent="0.2">
      <c r="B6" s="33" t="s">
        <v>25</v>
      </c>
      <c r="H6" s="14">
        <f>Продажи!P136</f>
        <v>0.19464805139757679</v>
      </c>
      <c r="I6" s="14">
        <f>Продажи!Q136</f>
        <v>0.20183925710088646</v>
      </c>
      <c r="J6" s="14">
        <f>Продажи!R136</f>
        <v>0.20470803937045168</v>
      </c>
      <c r="K6" s="14">
        <f>Продажи!S136</f>
        <v>0.21618938420756439</v>
      </c>
      <c r="L6" s="14">
        <f>Продажи!T136</f>
        <v>0.21693149266203382</v>
      </c>
      <c r="M6" s="14">
        <f>Продажи!U136</f>
        <v>0.21896353841382954</v>
      </c>
      <c r="N6" s="14">
        <f>Продажи!V136</f>
        <v>0.22101803981069512</v>
      </c>
      <c r="O6" s="14">
        <f>Продажи!W136</f>
        <v>0.22309379347931424</v>
      </c>
      <c r="P6" s="14">
        <f>Продажи!X136</f>
        <v>0.22518962851371405</v>
      </c>
    </row>
    <row r="7" spans="1:41" s="11" customFormat="1" ht="15" x14ac:dyDescent="0.2">
      <c r="B7" s="11" t="s">
        <v>30</v>
      </c>
      <c r="C7" s="11">
        <v>623774.20609393995</v>
      </c>
      <c r="D7" s="11">
        <v>609603</v>
      </c>
      <c r="E7" s="11">
        <f>E5*E8</f>
        <v>646815</v>
      </c>
      <c r="F7" s="11">
        <f t="shared" ref="F7:P7" si="0">F5*F8</f>
        <v>770000</v>
      </c>
      <c r="G7" s="11">
        <f>SUM(C7:F7)</f>
        <v>2650192.20609394</v>
      </c>
      <c r="H7" s="11">
        <f t="shared" si="0"/>
        <v>3548630.8088093186</v>
      </c>
      <c r="I7" s="11">
        <f t="shared" si="0"/>
        <v>4264883.81498471</v>
      </c>
      <c r="J7" s="11">
        <f t="shared" si="0"/>
        <v>5137939.8188930014</v>
      </c>
      <c r="K7" s="11">
        <f t="shared" si="0"/>
        <v>6248707.8644350041</v>
      </c>
      <c r="L7" s="11">
        <f t="shared" si="0"/>
        <v>7604249.3886758778</v>
      </c>
      <c r="M7" s="11">
        <f t="shared" si="0"/>
        <v>9269302.7418015487</v>
      </c>
      <c r="N7" s="11">
        <f t="shared" si="0"/>
        <v>11317985.864206428</v>
      </c>
      <c r="O7" s="11">
        <f t="shared" si="0"/>
        <v>13842958.265197493</v>
      </c>
      <c r="P7" s="11">
        <f t="shared" si="0"/>
        <v>16960248.894468166</v>
      </c>
    </row>
    <row r="8" spans="1:41" x14ac:dyDescent="0.2">
      <c r="B8" s="16" t="s">
        <v>7</v>
      </c>
      <c r="C8" s="42">
        <v>3.9E-2</v>
      </c>
      <c r="D8" s="42">
        <f>D7/D5</f>
        <v>4.347382272336342E-2</v>
      </c>
      <c r="E8" s="17">
        <v>3.9E-2</v>
      </c>
      <c r="F8" s="17">
        <v>0.04</v>
      </c>
      <c r="G8" s="42">
        <f>G7/G5</f>
        <v>4.0148474339478192E-2</v>
      </c>
      <c r="H8" s="19">
        <v>4.4999999999999998E-2</v>
      </c>
      <c r="I8" s="19">
        <v>4.4999999999999998E-2</v>
      </c>
      <c r="J8" s="19">
        <v>4.4999999999999998E-2</v>
      </c>
      <c r="K8" s="19">
        <v>4.4999999999999998E-2</v>
      </c>
      <c r="L8" s="19">
        <v>4.4999999999999998E-2</v>
      </c>
      <c r="M8" s="19">
        <v>4.4999999999999998E-2</v>
      </c>
      <c r="N8" s="19">
        <v>4.4999999999999998E-2</v>
      </c>
      <c r="O8" s="19">
        <v>4.4999999999999998E-2</v>
      </c>
      <c r="P8" s="19">
        <v>4.4999999999999998E-2</v>
      </c>
    </row>
    <row r="9" spans="1:41" s="9" customFormat="1" x14ac:dyDescent="0.2"/>
    <row r="10" spans="1:41" s="3" customFormat="1" ht="15.75" x14ac:dyDescent="0.25">
      <c r="B10" s="6" t="s">
        <v>31</v>
      </c>
      <c r="C10" s="13">
        <f>C5-C7</f>
        <v>15528711.60180838</v>
      </c>
      <c r="D10" s="13">
        <f>D5-D7</f>
        <v>13412697.359438857</v>
      </c>
      <c r="E10" s="13">
        <f t="shared" ref="E10:P10" si="1">E5-E7</f>
        <v>15938185</v>
      </c>
      <c r="F10" s="13">
        <f t="shared" si="1"/>
        <v>18480000</v>
      </c>
      <c r="G10" s="13">
        <f t="shared" si="1"/>
        <v>63359593.961247243</v>
      </c>
      <c r="H10" s="13">
        <f t="shared" si="1"/>
        <v>75309831.609175533</v>
      </c>
      <c r="I10" s="13">
        <f t="shared" si="1"/>
        <v>90510312.073564395</v>
      </c>
      <c r="J10" s="13">
        <f t="shared" si="1"/>
        <v>109038500.60095148</v>
      </c>
      <c r="K10" s="13">
        <f t="shared" si="1"/>
        <v>132611466.90078731</v>
      </c>
      <c r="L10" s="13">
        <f t="shared" si="1"/>
        <v>161379070.35967699</v>
      </c>
      <c r="M10" s="13">
        <f t="shared" si="1"/>
        <v>196715202.6315662</v>
      </c>
      <c r="N10" s="13">
        <f t="shared" si="1"/>
        <v>240192811.11815864</v>
      </c>
      <c r="O10" s="13">
        <f t="shared" si="1"/>
        <v>293778336.51696903</v>
      </c>
      <c r="P10" s="13">
        <f t="shared" si="1"/>
        <v>359934170.98260218</v>
      </c>
    </row>
    <row r="11" spans="1:41" s="9" customFormat="1" x14ac:dyDescent="0.2"/>
    <row r="12" spans="1:41" s="9" customFormat="1" ht="15.75" x14ac:dyDescent="0.25">
      <c r="B12" s="6" t="s">
        <v>71</v>
      </c>
      <c r="C12" s="22">
        <v>12426506.2531719</v>
      </c>
      <c r="D12" s="22">
        <v>10697000</v>
      </c>
      <c r="E12" s="22">
        <f t="shared" ref="E12:P12" si="2">E13*E10</f>
        <v>12750548</v>
      </c>
      <c r="F12" s="22">
        <f t="shared" si="2"/>
        <v>14784000</v>
      </c>
      <c r="G12" s="22">
        <f>SUM(C12:F12)</f>
        <v>50658054.253171898</v>
      </c>
      <c r="H12" s="22">
        <f t="shared" si="2"/>
        <v>60247865.287340432</v>
      </c>
      <c r="I12" s="22">
        <f t="shared" si="2"/>
        <v>72408249.658851519</v>
      </c>
      <c r="J12" s="22">
        <f t="shared" si="2"/>
        <v>87230800.480761185</v>
      </c>
      <c r="K12" s="22">
        <f t="shared" si="2"/>
        <v>106089173.52062985</v>
      </c>
      <c r="L12" s="22">
        <f t="shared" si="2"/>
        <v>132330837.69493513</v>
      </c>
      <c r="M12" s="22">
        <f t="shared" si="2"/>
        <v>159339314.13156864</v>
      </c>
      <c r="N12" s="22">
        <f t="shared" si="2"/>
        <v>192154248.89452693</v>
      </c>
      <c r="O12" s="22">
        <f t="shared" si="2"/>
        <v>220333752.38772678</v>
      </c>
      <c r="P12" s="22">
        <f t="shared" si="2"/>
        <v>251953919.68782151</v>
      </c>
    </row>
    <row r="13" spans="1:41" ht="13.5" customHeight="1" x14ac:dyDescent="0.2">
      <c r="B13" s="16" t="s">
        <v>32</v>
      </c>
      <c r="C13" s="42">
        <f>C12/C10</f>
        <v>0.80022776981219645</v>
      </c>
      <c r="D13" s="42">
        <f>D12/D10</f>
        <v>0.79752787327839381</v>
      </c>
      <c r="E13" s="17">
        <v>0.8</v>
      </c>
      <c r="F13" s="17">
        <v>0.8</v>
      </c>
      <c r="G13" s="42">
        <f>G12/G10</f>
        <v>0.79953249517596325</v>
      </c>
      <c r="H13" s="17">
        <v>0.8</v>
      </c>
      <c r="I13" s="17">
        <v>0.8</v>
      </c>
      <c r="J13" s="17">
        <v>0.8</v>
      </c>
      <c r="K13" s="17">
        <v>0.8</v>
      </c>
      <c r="L13" s="17">
        <v>0.82</v>
      </c>
      <c r="M13" s="17">
        <v>0.81</v>
      </c>
      <c r="N13" s="17">
        <v>0.8</v>
      </c>
      <c r="O13" s="17">
        <v>0.75</v>
      </c>
      <c r="P13" s="17">
        <v>0.7</v>
      </c>
    </row>
    <row r="14" spans="1:41" s="1" customFormat="1" x14ac:dyDescent="0.2"/>
    <row r="15" spans="1:41" s="1" customFormat="1" x14ac:dyDescent="0.2"/>
    <row r="16" spans="1:41" s="8" customFormat="1" ht="15.75" x14ac:dyDescent="0.25">
      <c r="A16"/>
      <c r="B16" s="20" t="s">
        <v>1</v>
      </c>
      <c r="C16" s="21">
        <f t="shared" ref="C16:P16" si="3">C10-C12</f>
        <v>3102205.34863648</v>
      </c>
      <c r="D16" s="21">
        <f t="shared" si="3"/>
        <v>2715697.3594388571</v>
      </c>
      <c r="E16" s="21">
        <f t="shared" si="3"/>
        <v>3187637</v>
      </c>
      <c r="F16" s="21">
        <f t="shared" si="3"/>
        <v>3696000</v>
      </c>
      <c r="G16" s="21">
        <f t="shared" si="3"/>
        <v>12701539.708075345</v>
      </c>
      <c r="H16" s="21">
        <f t="shared" si="3"/>
        <v>15061966.321835101</v>
      </c>
      <c r="I16" s="21">
        <f t="shared" si="3"/>
        <v>18102062.414712876</v>
      </c>
      <c r="J16" s="21">
        <f t="shared" si="3"/>
        <v>21807700.120190293</v>
      </c>
      <c r="K16" s="21">
        <f t="shared" si="3"/>
        <v>26522293.380157456</v>
      </c>
      <c r="L16" s="21">
        <f t="shared" si="3"/>
        <v>29048232.664741859</v>
      </c>
      <c r="M16" s="21">
        <f t="shared" si="3"/>
        <v>37375888.499997556</v>
      </c>
      <c r="N16" s="21">
        <f t="shared" si="3"/>
        <v>48038562.22363171</v>
      </c>
      <c r="O16" s="21">
        <f t="shared" si="3"/>
        <v>73444584.129242241</v>
      </c>
      <c r="P16" s="21">
        <f t="shared" si="3"/>
        <v>107980251.29478067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1" customFormat="1" x14ac:dyDescent="0.2">
      <c r="A17"/>
      <c r="B17" s="1" t="s">
        <v>33</v>
      </c>
      <c r="C17" s="42">
        <f t="shared" ref="C17:P17" si="4">C16/C10</f>
        <v>0.1997722301878036</v>
      </c>
      <c r="D17" s="14">
        <f t="shared" si="4"/>
        <v>0.20247212672160619</v>
      </c>
      <c r="E17" s="14">
        <f t="shared" si="4"/>
        <v>0.2</v>
      </c>
      <c r="F17" s="14">
        <f t="shared" si="4"/>
        <v>0.2</v>
      </c>
      <c r="G17" s="14">
        <f t="shared" si="4"/>
        <v>0.2004675048240368</v>
      </c>
      <c r="H17" s="14">
        <f t="shared" si="4"/>
        <v>0.19999999999999993</v>
      </c>
      <c r="I17" s="14">
        <f t="shared" si="4"/>
        <v>0.19999999999999996</v>
      </c>
      <c r="J17" s="14">
        <f t="shared" si="4"/>
        <v>0.19999999999999998</v>
      </c>
      <c r="K17" s="14">
        <f t="shared" si="4"/>
        <v>0.19999999999999996</v>
      </c>
      <c r="L17" s="14">
        <f t="shared" si="4"/>
        <v>0.18000000000000002</v>
      </c>
      <c r="M17" s="14">
        <f t="shared" si="4"/>
        <v>0.18999999999999989</v>
      </c>
      <c r="N17" s="14">
        <f t="shared" si="4"/>
        <v>0.19999999999999993</v>
      </c>
      <c r="O17" s="14">
        <f t="shared" si="4"/>
        <v>0.24999999999999994</v>
      </c>
      <c r="P17" s="14">
        <f t="shared" si="4"/>
        <v>0.30000000000000004</v>
      </c>
    </row>
    <row r="18" spans="1:41" s="1" customFormat="1" x14ac:dyDescent="0.2">
      <c r="A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ht="15.75" x14ac:dyDescent="0.25">
      <c r="B19" s="40" t="s">
        <v>34</v>
      </c>
    </row>
    <row r="20" spans="1:41" ht="15.75" x14ac:dyDescent="0.25">
      <c r="B20" s="40"/>
    </row>
    <row r="21" spans="1:41" s="2" customFormat="1" ht="15" x14ac:dyDescent="0.2">
      <c r="B21" s="2" t="s">
        <v>36</v>
      </c>
      <c r="C21" s="11">
        <v>205889.11815561249</v>
      </c>
      <c r="D21" s="11">
        <v>226720.63122126827</v>
      </c>
      <c r="E21" s="11">
        <f>E23*E22</f>
        <v>217800</v>
      </c>
      <c r="F21" s="11">
        <f>F23*F22</f>
        <v>237600</v>
      </c>
      <c r="G21" s="11">
        <f>SUM(C21:F21)</f>
        <v>888009.7493768807</v>
      </c>
      <c r="H21" s="11">
        <f>H22*H23</f>
        <v>1158612.7939873161</v>
      </c>
      <c r="I21" s="11">
        <f>I22*I23</f>
        <v>1034403.5665550217</v>
      </c>
      <c r="J21" s="11">
        <f t="shared" ref="J21:P21" si="5">J22*J23</f>
        <v>1199423.5066104664</v>
      </c>
      <c r="K21" s="11">
        <f t="shared" si="5"/>
        <v>1296645.4541410315</v>
      </c>
      <c r="L21" s="11">
        <f t="shared" si="5"/>
        <v>1455639.2146442863</v>
      </c>
      <c r="M21" s="11">
        <f t="shared" si="5"/>
        <v>1460610.3795393792</v>
      </c>
      <c r="N21" s="11">
        <f t="shared" si="5"/>
        <v>1625920.567569074</v>
      </c>
      <c r="O21" s="11">
        <f t="shared" si="5"/>
        <v>1731193.7687607105</v>
      </c>
      <c r="P21" s="11">
        <f t="shared" si="5"/>
        <v>1732183.1978537729</v>
      </c>
    </row>
    <row r="22" spans="1:41" s="1" customFormat="1" x14ac:dyDescent="0.2">
      <c r="B22" s="41" t="s">
        <v>35</v>
      </c>
      <c r="C22" s="15">
        <v>19800</v>
      </c>
      <c r="D22" s="15">
        <v>19800</v>
      </c>
      <c r="E22" s="15">
        <v>19800</v>
      </c>
      <c r="F22" s="15">
        <v>19800</v>
      </c>
      <c r="G22" s="15">
        <v>19800</v>
      </c>
      <c r="H22" s="15">
        <f>H12/H25</f>
        <v>23172.255879746321</v>
      </c>
      <c r="I22" s="15">
        <f>I12/I25</f>
        <v>20688.071331100433</v>
      </c>
      <c r="J22" s="15">
        <f t="shared" ref="J22:P22" si="6">J12/J25</f>
        <v>21807.700120190297</v>
      </c>
      <c r="K22" s="15">
        <f t="shared" si="6"/>
        <v>23575.371893473301</v>
      </c>
      <c r="L22" s="15">
        <f t="shared" si="6"/>
        <v>26466.167538987025</v>
      </c>
      <c r="M22" s="15">
        <f t="shared" si="6"/>
        <v>26556.55235526144</v>
      </c>
      <c r="N22" s="15">
        <f t="shared" si="6"/>
        <v>29562.192137619528</v>
      </c>
      <c r="O22" s="15">
        <f t="shared" si="6"/>
        <v>31476.250341103827</v>
      </c>
      <c r="P22" s="15">
        <f t="shared" si="6"/>
        <v>31494.239960977688</v>
      </c>
    </row>
    <row r="23" spans="1:41" s="1" customFormat="1" x14ac:dyDescent="0.2">
      <c r="B23" s="41" t="s">
        <v>69</v>
      </c>
      <c r="C23" s="49">
        <f>C21/C22</f>
        <v>10.398440310889519</v>
      </c>
      <c r="D23" s="49">
        <f>D21/D22</f>
        <v>11.450536930367084</v>
      </c>
      <c r="E23" s="50">
        <v>11</v>
      </c>
      <c r="F23" s="50">
        <v>12</v>
      </c>
      <c r="G23" s="49">
        <f>G21/G22</f>
        <v>44.848977241256598</v>
      </c>
      <c r="H23" s="16">
        <v>50</v>
      </c>
      <c r="I23" s="16">
        <v>50</v>
      </c>
      <c r="J23" s="16">
        <v>55</v>
      </c>
      <c r="K23" s="16">
        <v>55</v>
      </c>
      <c r="L23" s="16">
        <v>55</v>
      </c>
      <c r="M23" s="16">
        <v>55</v>
      </c>
      <c r="N23" s="16">
        <v>55</v>
      </c>
      <c r="O23" s="16">
        <v>55</v>
      </c>
      <c r="P23" s="16">
        <v>55</v>
      </c>
    </row>
    <row r="24" spans="1:41" s="1" customFormat="1" x14ac:dyDescent="0.2">
      <c r="B24" s="41" t="s">
        <v>70</v>
      </c>
      <c r="C24" s="42">
        <f>C21/C12</f>
        <v>1.6568544203891478E-2</v>
      </c>
      <c r="D24" s="42">
        <f t="shared" ref="D24:P24" si="7">D21/D12</f>
        <v>2.1194786502876345E-2</v>
      </c>
      <c r="E24" s="42">
        <f t="shared" si="7"/>
        <v>1.7081618766503211E-2</v>
      </c>
      <c r="F24" s="42">
        <f t="shared" si="7"/>
        <v>1.607142857142857E-2</v>
      </c>
      <c r="G24" s="42">
        <f t="shared" si="7"/>
        <v>1.7529487906087094E-2</v>
      </c>
      <c r="H24" s="42">
        <f t="shared" si="7"/>
        <v>1.9230769230769232E-2</v>
      </c>
      <c r="I24" s="42">
        <f t="shared" si="7"/>
        <v>1.4285714285714285E-2</v>
      </c>
      <c r="J24" s="42">
        <f t="shared" si="7"/>
        <v>1.3750000000000002E-2</v>
      </c>
      <c r="K24" s="42">
        <f t="shared" si="7"/>
        <v>1.2222222222222221E-2</v>
      </c>
      <c r="L24" s="42">
        <f t="shared" si="7"/>
        <v>1.0999999999999999E-2</v>
      </c>
      <c r="M24" s="42">
        <f t="shared" si="7"/>
        <v>9.1666666666666667E-3</v>
      </c>
      <c r="N24" s="42">
        <f t="shared" si="7"/>
        <v>8.4615384615384613E-3</v>
      </c>
      <c r="O24" s="42">
        <f t="shared" si="7"/>
        <v>7.8571428571428577E-3</v>
      </c>
      <c r="P24" s="42">
        <f t="shared" si="7"/>
        <v>6.875E-3</v>
      </c>
    </row>
    <row r="25" spans="1:41" s="1" customFormat="1" x14ac:dyDescent="0.2">
      <c r="B25" s="41" t="s">
        <v>78</v>
      </c>
      <c r="C25" s="15">
        <f>C12/C22</f>
        <v>627.60132591777278</v>
      </c>
      <c r="D25" s="15">
        <f>D12/D22</f>
        <v>540.25252525252529</v>
      </c>
      <c r="E25" s="15">
        <f>E12/E22</f>
        <v>643.96707070707066</v>
      </c>
      <c r="F25" s="15">
        <f>F12/F22</f>
        <v>746.66666666666663</v>
      </c>
      <c r="G25" s="15">
        <f>G12/G22</f>
        <v>2558.4875885440351</v>
      </c>
      <c r="H25" s="52">
        <v>2600</v>
      </c>
      <c r="I25" s="52">
        <v>3500</v>
      </c>
      <c r="J25" s="52">
        <v>4000</v>
      </c>
      <c r="K25" s="52">
        <v>4500</v>
      </c>
      <c r="L25" s="52">
        <v>5000</v>
      </c>
      <c r="M25" s="52">
        <v>6000</v>
      </c>
      <c r="N25" s="52">
        <v>6500</v>
      </c>
      <c r="O25" s="52">
        <v>7000</v>
      </c>
      <c r="P25" s="52">
        <v>8000</v>
      </c>
    </row>
    <row r="26" spans="1:41" ht="15.75" x14ac:dyDescent="0.25">
      <c r="B26" s="20"/>
    </row>
    <row r="27" spans="1:41" ht="15" x14ac:dyDescent="0.2">
      <c r="B27" s="2" t="s">
        <v>37</v>
      </c>
      <c r="C27" s="11">
        <v>429663</v>
      </c>
      <c r="D27" s="11">
        <v>393649.93147879554</v>
      </c>
      <c r="E27" s="11">
        <f>E28*E29</f>
        <v>417290.6618181818</v>
      </c>
      <c r="F27" s="11">
        <f>F28*F29</f>
        <v>483840</v>
      </c>
      <c r="G27" s="11">
        <f>SUM(C27:F27)</f>
        <v>1724443.5932969775</v>
      </c>
      <c r="H27" s="11">
        <f>H28*H29</f>
        <v>1971748.3184947779</v>
      </c>
      <c r="I27" s="11">
        <f>I28*I29</f>
        <v>2202417.5937900669</v>
      </c>
      <c r="J27" s="11">
        <f t="shared" ref="J27:P27" si="8">J28*J29</f>
        <v>2582031.6942305313</v>
      </c>
      <c r="K27" s="11">
        <f t="shared" si="8"/>
        <v>2616866.2801755364</v>
      </c>
      <c r="L27" s="11">
        <f t="shared" si="8"/>
        <v>2797851.9969786284</v>
      </c>
      <c r="M27" s="11">
        <f t="shared" si="8"/>
        <v>3368888.3559245938</v>
      </c>
      <c r="N27" s="11">
        <f t="shared" si="8"/>
        <v>4062689.833769998</v>
      </c>
      <c r="O27" s="11">
        <f t="shared" si="8"/>
        <v>4658485.0504833665</v>
      </c>
      <c r="P27" s="11">
        <f t="shared" si="8"/>
        <v>5327025.7305425117</v>
      </c>
    </row>
    <row r="28" spans="1:41" s="1" customFormat="1" x14ac:dyDescent="0.2">
      <c r="B28" s="41" t="s">
        <v>38</v>
      </c>
      <c r="C28" s="15">
        <v>234</v>
      </c>
      <c r="D28" s="15">
        <v>234</v>
      </c>
      <c r="E28" s="15">
        <f>E12/E30</f>
        <v>231.82814545454545</v>
      </c>
      <c r="F28" s="15">
        <f>F12/F30</f>
        <v>268.8</v>
      </c>
      <c r="G28" s="25">
        <f>SUM(C28:F28)/4</f>
        <v>242.15703636363634</v>
      </c>
      <c r="H28" s="15">
        <f>H12/H30</f>
        <v>273.8539331242747</v>
      </c>
      <c r="I28" s="15">
        <f t="shared" ref="I28:P28" si="9">I12/I30</f>
        <v>301.70104024521464</v>
      </c>
      <c r="J28" s="15">
        <f t="shared" si="9"/>
        <v>348.92320192304476</v>
      </c>
      <c r="K28" s="15">
        <f t="shared" si="9"/>
        <v>353.6305784020995</v>
      </c>
      <c r="L28" s="15">
        <f t="shared" si="9"/>
        <v>378.08810769981466</v>
      </c>
      <c r="M28" s="15">
        <f t="shared" si="9"/>
        <v>455.25518323305323</v>
      </c>
      <c r="N28" s="15">
        <f t="shared" si="9"/>
        <v>549.01213969864841</v>
      </c>
      <c r="O28" s="15">
        <f t="shared" si="9"/>
        <v>629.52500682207653</v>
      </c>
      <c r="P28" s="15">
        <f t="shared" si="9"/>
        <v>719.86834196520431</v>
      </c>
    </row>
    <row r="29" spans="1:41" s="1" customFormat="1" x14ac:dyDescent="0.2">
      <c r="B29" s="41" t="s">
        <v>46</v>
      </c>
      <c r="C29" s="15">
        <f>C27/C28</f>
        <v>1836.1666666666667</v>
      </c>
      <c r="D29" s="15">
        <f>D27/D28</f>
        <v>1682.2646644392971</v>
      </c>
      <c r="E29" s="15">
        <v>1800</v>
      </c>
      <c r="F29" s="15">
        <v>1800</v>
      </c>
      <c r="G29" s="25">
        <f>G27/G28</f>
        <v>7121.178963833444</v>
      </c>
      <c r="H29" s="52">
        <v>7200</v>
      </c>
      <c r="I29" s="52">
        <v>7300</v>
      </c>
      <c r="J29" s="52">
        <v>7400</v>
      </c>
      <c r="K29" s="52">
        <v>7400</v>
      </c>
      <c r="L29" s="52">
        <v>7400</v>
      </c>
      <c r="M29" s="52">
        <v>7400</v>
      </c>
      <c r="N29" s="52">
        <v>7400</v>
      </c>
      <c r="O29" s="52">
        <v>7400</v>
      </c>
      <c r="P29" s="52">
        <v>7400</v>
      </c>
    </row>
    <row r="30" spans="1:41" s="1" customFormat="1" x14ac:dyDescent="0.2">
      <c r="B30" s="41" t="s">
        <v>72</v>
      </c>
      <c r="C30" s="15">
        <f>C12/C28</f>
        <v>53104.727577657693</v>
      </c>
      <c r="D30" s="15">
        <f>D12/D28</f>
        <v>45713.675213675211</v>
      </c>
      <c r="E30" s="52">
        <v>55000</v>
      </c>
      <c r="F30" s="52">
        <v>55000</v>
      </c>
      <c r="G30" s="15">
        <f>G12/G28</f>
        <v>209195.05381252262</v>
      </c>
      <c r="H30" s="52">
        <v>220000</v>
      </c>
      <c r="I30" s="52">
        <v>240000</v>
      </c>
      <c r="J30" s="52">
        <v>250000</v>
      </c>
      <c r="K30" s="52">
        <v>300000</v>
      </c>
      <c r="L30" s="52">
        <v>350000</v>
      </c>
      <c r="M30" s="52">
        <v>350000</v>
      </c>
      <c r="N30" s="52">
        <v>350000</v>
      </c>
      <c r="O30" s="52">
        <v>350000</v>
      </c>
      <c r="P30" s="52">
        <v>350000</v>
      </c>
    </row>
    <row r="31" spans="1:41" x14ac:dyDescent="0.2">
      <c r="B31" s="39"/>
    </row>
    <row r="32" spans="1:41" ht="30" x14ac:dyDescent="0.2">
      <c r="B32" s="5" t="s">
        <v>41</v>
      </c>
      <c r="C32" s="11">
        <v>1182554.4985207387</v>
      </c>
      <c r="D32" s="11">
        <v>1183000</v>
      </c>
      <c r="E32" s="11">
        <f>E34*E33</f>
        <v>1204218.4222222222</v>
      </c>
      <c r="F32" s="11">
        <f>F34*F33</f>
        <v>1256640</v>
      </c>
      <c r="G32" s="11">
        <f>SUM(C32:F32)</f>
        <v>4826412.9207429606</v>
      </c>
      <c r="H32" s="11">
        <f>H34*H33</f>
        <v>5271688.2126422878</v>
      </c>
      <c r="I32" s="11">
        <f t="shared" ref="I32:P32" si="10">I34*I33</f>
        <v>5213393.9754373087</v>
      </c>
      <c r="J32" s="11">
        <f t="shared" si="10"/>
        <v>5379232.6963136066</v>
      </c>
      <c r="K32" s="11">
        <f t="shared" si="10"/>
        <v>5759126.5625484781</v>
      </c>
      <c r="L32" s="11">
        <f t="shared" si="10"/>
        <v>6451128.337628087</v>
      </c>
      <c r="M32" s="11">
        <f t="shared" si="10"/>
        <v>7081747.2947363844</v>
      </c>
      <c r="N32" s="11">
        <f t="shared" si="10"/>
        <v>7878324.2046756037</v>
      </c>
      <c r="O32" s="11">
        <f t="shared" si="10"/>
        <v>8412743.2729859315</v>
      </c>
      <c r="P32" s="11">
        <f t="shared" si="10"/>
        <v>9028348.788813604</v>
      </c>
    </row>
    <row r="33" spans="1:41" s="1" customFormat="1" x14ac:dyDescent="0.2">
      <c r="B33" s="41" t="s">
        <v>39</v>
      </c>
      <c r="C33" s="15">
        <v>1400</v>
      </c>
      <c r="D33" s="15">
        <v>1400</v>
      </c>
      <c r="E33" s="15">
        <f>E12/E35</f>
        <v>1416.7275555555555</v>
      </c>
      <c r="F33" s="15">
        <f>F12/F35</f>
        <v>1478.4</v>
      </c>
      <c r="G33" s="25">
        <f>AVERAGE(C33:F33)</f>
        <v>1423.7818888888887</v>
      </c>
      <c r="H33" s="15">
        <f>H12/H35</f>
        <v>1506.1966321835107</v>
      </c>
      <c r="I33" s="15">
        <f t="shared" ref="I33:P33" si="11">I12/I35</f>
        <v>1448.1649931770303</v>
      </c>
      <c r="J33" s="15">
        <f t="shared" si="11"/>
        <v>1453.8466746793531</v>
      </c>
      <c r="K33" s="15">
        <f t="shared" si="11"/>
        <v>1515.5596217232837</v>
      </c>
      <c r="L33" s="15">
        <f t="shared" si="11"/>
        <v>1654.1354711866891</v>
      </c>
      <c r="M33" s="15">
        <f t="shared" si="11"/>
        <v>1770.436823684096</v>
      </c>
      <c r="N33" s="15">
        <f t="shared" si="11"/>
        <v>1921.5424889452693</v>
      </c>
      <c r="O33" s="15">
        <f t="shared" si="11"/>
        <v>2003.0341126156979</v>
      </c>
      <c r="P33" s="15">
        <f t="shared" si="11"/>
        <v>2099.6159973985127</v>
      </c>
    </row>
    <row r="34" spans="1:41" s="1" customFormat="1" x14ac:dyDescent="0.2">
      <c r="B34" s="41" t="s">
        <v>40</v>
      </c>
      <c r="C34" s="15">
        <f>C32/C33</f>
        <v>844.68178465767051</v>
      </c>
      <c r="D34" s="15">
        <f>D32/D33</f>
        <v>845</v>
      </c>
      <c r="E34" s="52">
        <v>850</v>
      </c>
      <c r="F34" s="52">
        <v>850</v>
      </c>
      <c r="G34" s="15">
        <f>G32/G33</f>
        <v>3389.8541331421666</v>
      </c>
      <c r="H34" s="52">
        <v>3500</v>
      </c>
      <c r="I34" s="52">
        <v>3600</v>
      </c>
      <c r="J34" s="52">
        <v>3700</v>
      </c>
      <c r="K34" s="52">
        <v>3800</v>
      </c>
      <c r="L34" s="52">
        <v>3900</v>
      </c>
      <c r="M34" s="52">
        <v>4000</v>
      </c>
      <c r="N34" s="52">
        <v>4100</v>
      </c>
      <c r="O34" s="52">
        <v>4200</v>
      </c>
      <c r="P34" s="52">
        <v>4300</v>
      </c>
    </row>
    <row r="35" spans="1:41" x14ac:dyDescent="0.2">
      <c r="B35" s="41" t="s">
        <v>44</v>
      </c>
      <c r="C35" s="15">
        <f>C12/C33</f>
        <v>8876.0758951227854</v>
      </c>
      <c r="D35" s="15">
        <f>D12/D33</f>
        <v>7640.7142857142853</v>
      </c>
      <c r="E35" s="52">
        <v>9000</v>
      </c>
      <c r="F35" s="52">
        <v>10000</v>
      </c>
      <c r="G35" s="15">
        <f>G12/G33</f>
        <v>35579.926004470501</v>
      </c>
      <c r="H35" s="52">
        <v>40000</v>
      </c>
      <c r="I35" s="52">
        <v>50000</v>
      </c>
      <c r="J35" s="52">
        <v>60000</v>
      </c>
      <c r="K35" s="52">
        <v>70000</v>
      </c>
      <c r="L35" s="52">
        <v>80000</v>
      </c>
      <c r="M35" s="52">
        <v>90000</v>
      </c>
      <c r="N35" s="52">
        <v>100000</v>
      </c>
      <c r="O35" s="52">
        <v>110000</v>
      </c>
      <c r="P35" s="52">
        <v>120000</v>
      </c>
    </row>
    <row r="37" spans="1:41" ht="15" x14ac:dyDescent="0.2">
      <c r="B37" s="5" t="s">
        <v>63</v>
      </c>
      <c r="C37" s="11">
        <v>124244.41596708377</v>
      </c>
      <c r="D37" s="11">
        <v>129000</v>
      </c>
      <c r="E37" s="11">
        <f>E38*E39</f>
        <v>130000</v>
      </c>
      <c r="F37" s="11">
        <f>F38*F39</f>
        <v>130000</v>
      </c>
      <c r="G37" s="11">
        <f>SUM(C37:F37)</f>
        <v>513244.41596708377</v>
      </c>
      <c r="H37" s="11">
        <f>H39*H38</f>
        <v>520000</v>
      </c>
      <c r="I37" s="11">
        <f t="shared" ref="I37:P37" si="12">I39*I38</f>
        <v>530000</v>
      </c>
      <c r="J37" s="11">
        <f t="shared" si="12"/>
        <v>530000</v>
      </c>
      <c r="K37" s="11">
        <f t="shared" si="12"/>
        <v>530000</v>
      </c>
      <c r="L37" s="11">
        <f t="shared" si="12"/>
        <v>530000</v>
      </c>
      <c r="M37" s="11">
        <f t="shared" si="12"/>
        <v>530000</v>
      </c>
      <c r="N37" s="11">
        <f t="shared" si="12"/>
        <v>530000</v>
      </c>
      <c r="O37" s="11">
        <f t="shared" si="12"/>
        <v>530000</v>
      </c>
      <c r="P37" s="11">
        <f t="shared" si="12"/>
        <v>530000</v>
      </c>
    </row>
    <row r="38" spans="1:41" s="1" customFormat="1" x14ac:dyDescent="0.2">
      <c r="B38" s="41" t="s">
        <v>64</v>
      </c>
      <c r="C38" s="15">
        <f>C37/20</f>
        <v>6212.2207983541884</v>
      </c>
      <c r="D38" s="15">
        <f>D37/20</f>
        <v>6450</v>
      </c>
      <c r="E38" s="52">
        <v>6500</v>
      </c>
      <c r="F38" s="52">
        <v>6500</v>
      </c>
      <c r="G38" s="25">
        <f>G37/G39</f>
        <v>25662.220798354188</v>
      </c>
      <c r="H38" s="52">
        <v>26000</v>
      </c>
      <c r="I38" s="52">
        <v>26500</v>
      </c>
      <c r="J38" s="52">
        <v>26500</v>
      </c>
      <c r="K38" s="52">
        <v>26500</v>
      </c>
      <c r="L38" s="52">
        <v>26500</v>
      </c>
      <c r="M38" s="52">
        <v>26500</v>
      </c>
      <c r="N38" s="52">
        <v>26500</v>
      </c>
      <c r="O38" s="52">
        <v>26500</v>
      </c>
      <c r="P38" s="52">
        <v>26500</v>
      </c>
    </row>
    <row r="39" spans="1:41" s="1" customFormat="1" x14ac:dyDescent="0.2">
      <c r="B39" s="41" t="s">
        <v>77</v>
      </c>
      <c r="C39" s="15">
        <v>20</v>
      </c>
      <c r="D39" s="15">
        <v>20</v>
      </c>
      <c r="E39" s="52">
        <v>20</v>
      </c>
      <c r="F39" s="52">
        <v>20</v>
      </c>
      <c r="G39" s="1">
        <v>20</v>
      </c>
      <c r="H39" s="52">
        <v>20</v>
      </c>
      <c r="I39" s="52">
        <v>20</v>
      </c>
      <c r="J39" s="52">
        <v>20</v>
      </c>
      <c r="K39" s="52">
        <v>20</v>
      </c>
      <c r="L39" s="52">
        <v>20</v>
      </c>
      <c r="M39" s="52">
        <v>20</v>
      </c>
      <c r="N39" s="52">
        <v>20</v>
      </c>
      <c r="O39" s="52">
        <v>20</v>
      </c>
      <c r="P39" s="52">
        <v>20</v>
      </c>
    </row>
    <row r="41" spans="1:41" ht="15" x14ac:dyDescent="0.2">
      <c r="B41" s="5" t="s">
        <v>67</v>
      </c>
      <c r="C41" s="11">
        <v>124125.68277562395</v>
      </c>
      <c r="D41" s="11">
        <v>129000</v>
      </c>
      <c r="E41" s="11">
        <f>E42*E12</f>
        <v>153006.576</v>
      </c>
      <c r="F41" s="11">
        <f>F42*F12</f>
        <v>177408</v>
      </c>
      <c r="G41" s="11">
        <f>SUM(C41:F41)</f>
        <v>583540.25877562398</v>
      </c>
      <c r="H41" s="11">
        <f>H42*H12</f>
        <v>722974.38344808517</v>
      </c>
      <c r="I41" s="11">
        <f t="shared" ref="I41:P41" si="13">I42*I12</f>
        <v>868898.9959062183</v>
      </c>
      <c r="J41" s="11">
        <f t="shared" si="13"/>
        <v>1046769.6057691342</v>
      </c>
      <c r="K41" s="11">
        <f t="shared" si="13"/>
        <v>1273070.0822475583</v>
      </c>
      <c r="L41" s="11">
        <f t="shared" si="13"/>
        <v>1587970.0523392216</v>
      </c>
      <c r="M41" s="11">
        <f t="shared" si="13"/>
        <v>1912071.7695788238</v>
      </c>
      <c r="N41" s="11">
        <f t="shared" si="13"/>
        <v>2305850.9867343232</v>
      </c>
      <c r="O41" s="11">
        <f t="shared" si="13"/>
        <v>2644005.0286527216</v>
      </c>
      <c r="P41" s="11">
        <f t="shared" si="13"/>
        <v>3023447.0362538584</v>
      </c>
    </row>
    <row r="42" spans="1:41" s="1" customFormat="1" x14ac:dyDescent="0.2">
      <c r="B42" s="41" t="s">
        <v>42</v>
      </c>
      <c r="C42" s="42">
        <f>C41/C12</f>
        <v>9.9887836731213583E-3</v>
      </c>
      <c r="D42" s="42">
        <f>D41/D12</f>
        <v>1.2059455922221183E-2</v>
      </c>
      <c r="E42" s="19">
        <v>1.2E-2</v>
      </c>
      <c r="F42" s="19">
        <v>1.2E-2</v>
      </c>
      <c r="G42" s="42">
        <f>G41/G12</f>
        <v>1.1519200004391923E-2</v>
      </c>
      <c r="H42" s="19">
        <v>1.2E-2</v>
      </c>
      <c r="I42" s="19">
        <v>1.2E-2</v>
      </c>
      <c r="J42" s="19">
        <v>1.2E-2</v>
      </c>
      <c r="K42" s="19">
        <v>1.2E-2</v>
      </c>
      <c r="L42" s="19">
        <v>1.2E-2</v>
      </c>
      <c r="M42" s="19">
        <v>1.2E-2</v>
      </c>
      <c r="N42" s="19">
        <v>1.2E-2</v>
      </c>
      <c r="O42" s="19">
        <v>1.2E-2</v>
      </c>
      <c r="P42" s="19">
        <v>1.2E-2</v>
      </c>
    </row>
    <row r="44" spans="1:41" ht="15" x14ac:dyDescent="0.2">
      <c r="B44" s="2" t="s">
        <v>45</v>
      </c>
      <c r="C44" s="11">
        <v>476114.56692436757</v>
      </c>
      <c r="D44" s="11">
        <v>597000</v>
      </c>
      <c r="E44" s="11">
        <f>E45*E12</f>
        <v>637527.4</v>
      </c>
      <c r="F44" s="11">
        <f>F45*F12</f>
        <v>739200</v>
      </c>
      <c r="G44" s="11">
        <f>SUM(C44:F44)</f>
        <v>2449841.9669243675</v>
      </c>
      <c r="H44" s="11">
        <f>H45*H12</f>
        <v>3012393.2643670216</v>
      </c>
      <c r="I44" s="11">
        <f t="shared" ref="I44:P44" si="14">I45*I12</f>
        <v>3620412.4829425761</v>
      </c>
      <c r="J44" s="11">
        <f t="shared" si="14"/>
        <v>4361540.0240380596</v>
      </c>
      <c r="K44" s="11">
        <f t="shared" si="14"/>
        <v>5304458.6760314927</v>
      </c>
      <c r="L44" s="11">
        <f t="shared" si="14"/>
        <v>6616541.8847467564</v>
      </c>
      <c r="M44" s="11">
        <f t="shared" si="14"/>
        <v>7966965.7065784326</v>
      </c>
      <c r="N44" s="11">
        <f t="shared" si="14"/>
        <v>9607712.4447263461</v>
      </c>
      <c r="O44" s="11">
        <f t="shared" si="14"/>
        <v>11016687.61938634</v>
      </c>
      <c r="P44" s="11">
        <f t="shared" si="14"/>
        <v>12597695.984391076</v>
      </c>
    </row>
    <row r="45" spans="1:41" s="1" customFormat="1" x14ac:dyDescent="0.2">
      <c r="B45" s="41" t="s">
        <v>42</v>
      </c>
      <c r="C45" s="42">
        <f>C44/C12</f>
        <v>3.8314435065192838E-2</v>
      </c>
      <c r="D45" s="42">
        <f>D44/D12</f>
        <v>5.581004019818641E-2</v>
      </c>
      <c r="E45" s="19">
        <v>0.05</v>
      </c>
      <c r="F45" s="19">
        <v>0.05</v>
      </c>
      <c r="G45" s="42">
        <f>G44/G12</f>
        <v>4.8360364468024809E-2</v>
      </c>
      <c r="H45" s="19">
        <v>0.05</v>
      </c>
      <c r="I45" s="19">
        <v>0.05</v>
      </c>
      <c r="J45" s="19">
        <v>0.05</v>
      </c>
      <c r="K45" s="19">
        <v>0.05</v>
      </c>
      <c r="L45" s="19">
        <v>0.05</v>
      </c>
      <c r="M45" s="19">
        <v>0.05</v>
      </c>
      <c r="N45" s="19">
        <v>0.05</v>
      </c>
      <c r="O45" s="19">
        <v>0.05</v>
      </c>
      <c r="P45" s="19">
        <v>0.05</v>
      </c>
    </row>
    <row r="46" spans="1:41" x14ac:dyDescent="0.2">
      <c r="B46" s="39"/>
      <c r="D46" s="18"/>
    </row>
    <row r="47" spans="1:41" s="8" customFormat="1" ht="20.25" x14ac:dyDescent="0.55000000000000004">
      <c r="A47"/>
      <c r="B47" s="20" t="s">
        <v>43</v>
      </c>
      <c r="C47" s="47">
        <f>C44+C41+C37+C32+C27+C21</f>
        <v>2542591.2823434267</v>
      </c>
      <c r="D47" s="47">
        <f>D44+D41+D37+D32+D27+D21</f>
        <v>2658370.5627000639</v>
      </c>
      <c r="E47" s="47">
        <f>E44+E41+E37+E32+E27+E21</f>
        <v>2759843.0600404036</v>
      </c>
      <c r="F47" s="47">
        <f>F44+F41+F37+F32+F27+F21</f>
        <v>3024688</v>
      </c>
      <c r="G47" s="48">
        <f>SUM(C47:F47)</f>
        <v>10985492.905083895</v>
      </c>
      <c r="H47" s="47">
        <f>H44+H41+H37+H32+H27+H21</f>
        <v>12657416.972939488</v>
      </c>
      <c r="I47" s="47">
        <f t="shared" ref="I47:P47" si="15">I44+I41+I37+I32+I27+I21</f>
        <v>13469526.614631191</v>
      </c>
      <c r="J47" s="47">
        <f t="shared" si="15"/>
        <v>15098997.526961798</v>
      </c>
      <c r="K47" s="47">
        <f t="shared" si="15"/>
        <v>16780167.055144098</v>
      </c>
      <c r="L47" s="47">
        <f t="shared" si="15"/>
        <v>19439131.48633698</v>
      </c>
      <c r="M47" s="47">
        <f t="shared" si="15"/>
        <v>22320283.506357614</v>
      </c>
      <c r="N47" s="47">
        <f t="shared" si="15"/>
        <v>26010498.037475344</v>
      </c>
      <c r="O47" s="47">
        <f t="shared" si="15"/>
        <v>28993114.740269072</v>
      </c>
      <c r="P47" s="47">
        <f t="shared" si="15"/>
        <v>32238700.737854823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9" spans="1:41" ht="15.75" x14ac:dyDescent="0.25">
      <c r="B49" s="3" t="s">
        <v>2</v>
      </c>
      <c r="C49" s="46">
        <f>C16-C47</f>
        <v>559614.06629305333</v>
      </c>
      <c r="D49" s="46">
        <f>D16-D47</f>
        <v>57326.796738793142</v>
      </c>
      <c r="E49" s="46">
        <f>E16-E47</f>
        <v>427793.93995959638</v>
      </c>
      <c r="F49" s="46">
        <f>F16-F47</f>
        <v>671312</v>
      </c>
      <c r="G49" s="53">
        <f>SUM(C49:F49)</f>
        <v>1716046.8029914428</v>
      </c>
      <c r="H49" s="46">
        <f>H16-H47</f>
        <v>2404549.3488956131</v>
      </c>
      <c r="I49" s="46">
        <f t="shared" ref="I49:P49" si="16">I16-I47</f>
        <v>4632535.8000816852</v>
      </c>
      <c r="J49" s="46">
        <f t="shared" si="16"/>
        <v>6708702.5932284947</v>
      </c>
      <c r="K49" s="46">
        <f t="shared" si="16"/>
        <v>9742126.3250133581</v>
      </c>
      <c r="L49" s="46">
        <f t="shared" si="16"/>
        <v>9609101.1784048788</v>
      </c>
      <c r="M49" s="46">
        <f t="shared" si="16"/>
        <v>15055604.993639942</v>
      </c>
      <c r="N49" s="46">
        <f t="shared" si="16"/>
        <v>22028064.186156366</v>
      </c>
      <c r="O49" s="46">
        <f t="shared" si="16"/>
        <v>44451469.388973169</v>
      </c>
      <c r="P49" s="46">
        <f t="shared" si="16"/>
        <v>75741550.556925848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41" x14ac:dyDescent="0.2">
      <c r="B50" s="1" t="s">
        <v>76</v>
      </c>
      <c r="C50" s="42">
        <f>C49/C10</f>
        <v>3.6037379059051106E-2</v>
      </c>
      <c r="D50" s="42">
        <f>D49/D10</f>
        <v>4.2740692049128221E-3</v>
      </c>
      <c r="E50" s="42">
        <f>E49/E10</f>
        <v>2.6840819074417595E-2</v>
      </c>
      <c r="F50" s="42">
        <f>F49/F10</f>
        <v>3.6326406926406929E-2</v>
      </c>
      <c r="G50" s="42">
        <f>G49/G10</f>
        <v>2.708424558467076E-2</v>
      </c>
    </row>
    <row r="52" spans="1:41" ht="15" x14ac:dyDescent="0.2">
      <c r="B52" s="2" t="s">
        <v>3</v>
      </c>
      <c r="C52" s="11">
        <v>107537.31021829494</v>
      </c>
      <c r="D52" s="11">
        <v>146500</v>
      </c>
      <c r="E52" s="11">
        <f>E53*E5</f>
        <v>165850</v>
      </c>
      <c r="F52" s="11">
        <f>F53*F5</f>
        <v>192500</v>
      </c>
      <c r="G52" s="11">
        <f>SUM(C52:F52)</f>
        <v>612387.31021829497</v>
      </c>
      <c r="H52" s="11">
        <f>H53*H5</f>
        <v>788584.62417984859</v>
      </c>
      <c r="I52" s="11">
        <f t="shared" ref="I52:P52" si="17">I53*I5</f>
        <v>947751.95888549101</v>
      </c>
      <c r="J52" s="11">
        <f t="shared" si="17"/>
        <v>1141764.4041984449</v>
      </c>
      <c r="K52" s="11">
        <f t="shared" si="17"/>
        <v>1388601.7476522231</v>
      </c>
      <c r="L52" s="11">
        <f t="shared" si="17"/>
        <v>1689833.1974835286</v>
      </c>
      <c r="M52" s="11">
        <f t="shared" si="17"/>
        <v>2059845.0537336776</v>
      </c>
      <c r="N52" s="11">
        <f t="shared" si="17"/>
        <v>2515107.9698236506</v>
      </c>
      <c r="O52" s="11">
        <f t="shared" si="17"/>
        <v>3076212.9478216656</v>
      </c>
      <c r="P52" s="11">
        <f t="shared" si="17"/>
        <v>3768944.1987707037</v>
      </c>
    </row>
    <row r="53" spans="1:41" s="1" customFormat="1" x14ac:dyDescent="0.2">
      <c r="B53" s="41" t="s">
        <v>7</v>
      </c>
      <c r="C53" s="42">
        <f>C52/C5</f>
        <v>6.6576322367473744E-3</v>
      </c>
      <c r="D53" s="42">
        <f>D52/D5</f>
        <v>1.0447643841931127E-2</v>
      </c>
      <c r="E53" s="19">
        <v>0.01</v>
      </c>
      <c r="F53" s="19">
        <v>0.01</v>
      </c>
      <c r="G53" s="42">
        <f>G52/G5</f>
        <v>9.277220027131038E-3</v>
      </c>
      <c r="H53" s="19">
        <v>0.01</v>
      </c>
      <c r="I53" s="19">
        <v>0.01</v>
      </c>
      <c r="J53" s="19">
        <v>0.01</v>
      </c>
      <c r="K53" s="19">
        <v>0.01</v>
      </c>
      <c r="L53" s="19">
        <v>0.01</v>
      </c>
      <c r="M53" s="19">
        <v>0.01</v>
      </c>
      <c r="N53" s="19">
        <v>0.01</v>
      </c>
      <c r="O53" s="19">
        <v>0.01</v>
      </c>
      <c r="P53" s="19">
        <v>0.01</v>
      </c>
    </row>
    <row r="54" spans="1:41" s="8" customFormat="1" ht="15.75" x14ac:dyDescent="0.25">
      <c r="A54"/>
      <c r="B54" s="3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ht="15" x14ac:dyDescent="0.2">
      <c r="B55" s="2" t="s">
        <v>11</v>
      </c>
      <c r="C55" s="22">
        <v>144955.98946205678</v>
      </c>
      <c r="D55" s="22">
        <v>83400</v>
      </c>
      <c r="E55" s="22">
        <f>E56*E5</f>
        <v>132680</v>
      </c>
      <c r="F55" s="22">
        <f>F56*F5</f>
        <v>154000</v>
      </c>
      <c r="G55" s="11">
        <f>SUM(C55:F55)</f>
        <v>515035.98946205678</v>
      </c>
      <c r="H55" s="22">
        <f>H56*H5</f>
        <v>630867.69934387889</v>
      </c>
      <c r="I55" s="22">
        <f t="shared" ref="I55:P55" si="18">I56*I5</f>
        <v>758201.56710839283</v>
      </c>
      <c r="J55" s="22">
        <f t="shared" si="18"/>
        <v>685058.64251906693</v>
      </c>
      <c r="K55" s="22">
        <f t="shared" si="18"/>
        <v>833161.04859133391</v>
      </c>
      <c r="L55" s="22">
        <f t="shared" si="18"/>
        <v>1013899.9184901172</v>
      </c>
      <c r="M55" s="22">
        <f t="shared" si="18"/>
        <v>1235907.0322402066</v>
      </c>
      <c r="N55" s="22">
        <f t="shared" si="18"/>
        <v>1509064.7818941905</v>
      </c>
      <c r="O55" s="22">
        <f t="shared" si="18"/>
        <v>1845727.7686929994</v>
      </c>
      <c r="P55" s="22">
        <f t="shared" si="18"/>
        <v>2261366.5192624223</v>
      </c>
    </row>
    <row r="56" spans="1:41" s="1" customFormat="1" x14ac:dyDescent="0.2">
      <c r="B56" s="41" t="s">
        <v>7</v>
      </c>
      <c r="C56" s="42">
        <f>C55/C5</f>
        <v>8.9742217505084949E-3</v>
      </c>
      <c r="D56" s="42">
        <f>D55/D5</f>
        <v>5.9476689175225663E-3</v>
      </c>
      <c r="E56" s="19">
        <v>8.0000000000000002E-3</v>
      </c>
      <c r="F56" s="19">
        <v>8.0000000000000002E-3</v>
      </c>
      <c r="G56" s="42">
        <f>G55/G5</f>
        <v>7.8024186922283131E-3</v>
      </c>
      <c r="H56" s="19">
        <v>8.0000000000000002E-3</v>
      </c>
      <c r="I56" s="19">
        <v>8.0000000000000002E-3</v>
      </c>
      <c r="J56" s="19">
        <v>6.0000000000000001E-3</v>
      </c>
      <c r="K56" s="19">
        <v>6.0000000000000001E-3</v>
      </c>
      <c r="L56" s="19">
        <v>6.0000000000000001E-3</v>
      </c>
      <c r="M56" s="19">
        <v>6.0000000000000001E-3</v>
      </c>
      <c r="N56" s="19">
        <v>6.0000000000000001E-3</v>
      </c>
      <c r="O56" s="19">
        <v>6.0000000000000001E-3</v>
      </c>
      <c r="P56" s="19">
        <v>6.0000000000000001E-3</v>
      </c>
    </row>
    <row r="57" spans="1:41" x14ac:dyDescent="0.2">
      <c r="C57" s="14"/>
      <c r="D57" s="14"/>
      <c r="E57" s="14"/>
      <c r="F57" s="14"/>
      <c r="G57" s="14"/>
      <c r="I57" s="14"/>
      <c r="J57" s="14"/>
      <c r="K57" s="14"/>
      <c r="L57" s="14"/>
      <c r="M57" s="14"/>
      <c r="N57" s="14"/>
      <c r="O57" s="14"/>
      <c r="P57" s="14"/>
    </row>
    <row r="58" spans="1:41" s="3" customFormat="1" ht="31.5" x14ac:dyDescent="0.25">
      <c r="B58" s="4" t="s">
        <v>10</v>
      </c>
      <c r="C58" s="13">
        <f>C49-C52-C55</f>
        <v>307120.76661270158</v>
      </c>
      <c r="D58" s="13">
        <f>D49-D52-D55</f>
        <v>-172573.20326120686</v>
      </c>
      <c r="E58" s="13">
        <f>E49-E52-E55</f>
        <v>129263.93995959638</v>
      </c>
      <c r="F58" s="13">
        <f>F49-F52-F55</f>
        <v>324812</v>
      </c>
      <c r="G58" s="13">
        <f>SUM(C58:F58)</f>
        <v>588623.5033110911</v>
      </c>
      <c r="H58" s="13">
        <f>H49-H52-H55</f>
        <v>985097.02537188574</v>
      </c>
      <c r="I58" s="13">
        <f>I49-I52-I55</f>
        <v>2926582.2740878016</v>
      </c>
      <c r="J58" s="13">
        <f t="shared" ref="J58:P58" si="19">J49-J52-J55</f>
        <v>4881879.5465109823</v>
      </c>
      <c r="K58" s="13">
        <f t="shared" si="19"/>
        <v>7520363.5287698004</v>
      </c>
      <c r="L58" s="13">
        <f t="shared" si="19"/>
        <v>6905368.062431233</v>
      </c>
      <c r="M58" s="13">
        <f t="shared" si="19"/>
        <v>11759852.907666059</v>
      </c>
      <c r="N58" s="13">
        <f t="shared" si="19"/>
        <v>18003891.434438523</v>
      </c>
      <c r="O58" s="13">
        <f t="shared" si="19"/>
        <v>39529528.6724585</v>
      </c>
      <c r="P58" s="13">
        <f t="shared" si="19"/>
        <v>69711239.838892728</v>
      </c>
    </row>
    <row r="59" spans="1:41" s="3" customFormat="1" ht="15.75" x14ac:dyDescent="0.25">
      <c r="B59" s="1" t="s">
        <v>68</v>
      </c>
      <c r="C59" s="42">
        <f t="shared" ref="C59:P59" si="20">C58/C10</f>
        <v>1.9777607729989405E-2</v>
      </c>
      <c r="D59" s="42">
        <f t="shared" si="20"/>
        <v>-1.2866405513859052E-2</v>
      </c>
      <c r="E59" s="42">
        <f t="shared" si="20"/>
        <v>8.110330000536221E-3</v>
      </c>
      <c r="F59" s="42">
        <f t="shared" si="20"/>
        <v>1.7576406926406926E-2</v>
      </c>
      <c r="G59" s="14">
        <f t="shared" si="20"/>
        <v>9.2902032117047981E-3</v>
      </c>
      <c r="H59" s="14">
        <f t="shared" si="20"/>
        <v>1.3080589935243785E-2</v>
      </c>
      <c r="I59" s="14">
        <f t="shared" si="20"/>
        <v>3.2334241337154519E-2</v>
      </c>
      <c r="J59" s="14">
        <f t="shared" si="20"/>
        <v>4.4772071512402867E-2</v>
      </c>
      <c r="K59" s="14">
        <f t="shared" si="20"/>
        <v>5.670975296876949E-2</v>
      </c>
      <c r="L59" s="14">
        <f t="shared" si="20"/>
        <v>4.2789737523216298E-2</v>
      </c>
      <c r="M59" s="14">
        <f t="shared" si="20"/>
        <v>5.9781108680712597E-2</v>
      </c>
      <c r="N59" s="14">
        <f t="shared" si="20"/>
        <v>7.4955996187503815E-2</v>
      </c>
      <c r="O59" s="14">
        <f t="shared" si="20"/>
        <v>0.13455562837314664</v>
      </c>
      <c r="P59" s="14">
        <f t="shared" si="20"/>
        <v>0.19367774848546485</v>
      </c>
    </row>
    <row r="61" spans="1:41" x14ac:dyDescent="0.2">
      <c r="C61" s="27"/>
      <c r="D61" s="27"/>
      <c r="E61" s="27"/>
      <c r="F61" s="27"/>
      <c r="G61" s="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pane xSplit="6" ySplit="2" topLeftCell="G6" activePane="bottomRight" state="frozen"/>
      <selection pane="topRight" activeCell="G1" sqref="G1"/>
      <selection pane="bottomLeft" activeCell="A5" sqref="A5"/>
      <selection pane="bottomRight" activeCell="A18" sqref="A18"/>
    </sheetView>
  </sheetViews>
  <sheetFormatPr defaultRowHeight="12.75" x14ac:dyDescent="0.2"/>
  <cols>
    <col min="1" max="1" width="1.7109375" customWidth="1"/>
    <col min="2" max="2" width="67.42578125" customWidth="1"/>
    <col min="3" max="3" width="14.28515625" hidden="1" customWidth="1"/>
    <col min="4" max="4" width="17.28515625" hidden="1" customWidth="1"/>
    <col min="5" max="6" width="14.28515625" hidden="1" customWidth="1"/>
    <col min="7" max="7" width="14.28515625" bestFit="1" customWidth="1"/>
    <col min="8" max="8" width="16.85546875" customWidth="1"/>
    <col min="9" max="9" width="14" customWidth="1"/>
    <col min="10" max="10" width="15.28515625" customWidth="1"/>
    <col min="11" max="11" width="15.7109375" bestFit="1" customWidth="1"/>
    <col min="12" max="12" width="15.42578125" customWidth="1"/>
    <col min="13" max="13" width="15.7109375" bestFit="1" customWidth="1"/>
    <col min="14" max="14" width="15.85546875" customWidth="1"/>
    <col min="15" max="15" width="15.42578125" customWidth="1"/>
    <col min="16" max="16" width="18" customWidth="1"/>
  </cols>
  <sheetData>
    <row r="1" spans="1:16" ht="15.75" x14ac:dyDescent="0.25">
      <c r="A1" s="3" t="s">
        <v>102</v>
      </c>
    </row>
    <row r="2" spans="1:16" s="2" customFormat="1" ht="31.5" x14ac:dyDescent="0.25">
      <c r="A2" s="1"/>
      <c r="C2" s="38" t="s">
        <v>26</v>
      </c>
      <c r="D2" s="38" t="s">
        <v>27</v>
      </c>
      <c r="E2" s="38" t="s">
        <v>28</v>
      </c>
      <c r="F2" s="38" t="s">
        <v>29</v>
      </c>
      <c r="G2" s="12">
        <f>Операционные_затраты!G2</f>
        <v>2003</v>
      </c>
      <c r="H2" s="12">
        <f>Операционные_затраты!H2</f>
        <v>2004</v>
      </c>
      <c r="I2" s="12">
        <f>Операционные_затраты!I2</f>
        <v>2005</v>
      </c>
      <c r="J2" s="12">
        <f>Операционные_затраты!J2</f>
        <v>2006</v>
      </c>
      <c r="K2" s="12">
        <f>Операционные_затраты!K2</f>
        <v>2007</v>
      </c>
      <c r="L2" s="12">
        <f>Операционные_затраты!L2</f>
        <v>2008</v>
      </c>
      <c r="M2" s="12">
        <f>Операционные_затраты!M2</f>
        <v>2009</v>
      </c>
      <c r="N2" s="12">
        <f>Операционные_затраты!N2</f>
        <v>2010</v>
      </c>
      <c r="O2" s="12">
        <f>Операционные_затраты!O2</f>
        <v>2011</v>
      </c>
      <c r="P2" s="12">
        <f>Операционные_затраты!P2</f>
        <v>2012</v>
      </c>
    </row>
    <row r="4" spans="1:16" ht="15.75" x14ac:dyDescent="0.25">
      <c r="B4" s="6" t="s">
        <v>9</v>
      </c>
    </row>
    <row r="6" spans="1:16" s="1" customFormat="1" x14ac:dyDescent="0.2">
      <c r="B6" s="1" t="s">
        <v>116</v>
      </c>
      <c r="C6" s="25">
        <v>3273000</v>
      </c>
      <c r="D6" s="25">
        <v>3268000</v>
      </c>
      <c r="E6" s="25">
        <f>E7*Операционные_затраты!E10</f>
        <v>4303309.95</v>
      </c>
      <c r="F6" s="25">
        <f>F7*Операционные_затраты!F10</f>
        <v>5359200</v>
      </c>
      <c r="G6" s="25">
        <f>SUM(C6:F6)/4</f>
        <v>4050877.4874999998</v>
      </c>
      <c r="H6" s="25">
        <f>H7*Операционные_затраты!H10</f>
        <v>6024786.5287340423</v>
      </c>
      <c r="I6" s="25">
        <f>I7*Операционные_затраты!I10</f>
        <v>7240824.9658851521</v>
      </c>
      <c r="J6" s="25">
        <f>J7*Операционные_затраты!J10</f>
        <v>8723080.0480761193</v>
      </c>
      <c r="K6" s="25">
        <f>K7*Операционные_затраты!K10</f>
        <v>10608917.352062985</v>
      </c>
      <c r="L6" s="25">
        <f>L7*Операционные_затраты!L10</f>
        <v>12910325.628774159</v>
      </c>
      <c r="M6" s="25">
        <f>M7*Операционные_затраты!M10</f>
        <v>15737216.210525297</v>
      </c>
      <c r="N6" s="25">
        <f>N7*Операционные_затраты!N10</f>
        <v>19215424.889452692</v>
      </c>
      <c r="O6" s="25">
        <f>O7*Операционные_затраты!O10</f>
        <v>23502266.921357524</v>
      </c>
      <c r="P6" s="25">
        <f>P7*Операционные_затраты!P10</f>
        <v>28794733.678608175</v>
      </c>
    </row>
    <row r="7" spans="1:16" s="1" customFormat="1" ht="13.5" customHeight="1" x14ac:dyDescent="0.2">
      <c r="B7" s="16" t="s">
        <v>117</v>
      </c>
      <c r="C7" s="14">
        <f>C6/Операционные_затраты!C10</f>
        <v>0.21077086650375076</v>
      </c>
      <c r="D7" s="14">
        <f>D6/Операционные_затраты!D10</f>
        <v>0.24364972327510431</v>
      </c>
      <c r="E7" s="17">
        <v>0.27</v>
      </c>
      <c r="F7" s="17">
        <v>0.28999999999999998</v>
      </c>
      <c r="G7" s="42">
        <f>G6/Операционные_затраты!G10</f>
        <v>6.3934713501757071E-2</v>
      </c>
      <c r="H7" s="23">
        <v>0.08</v>
      </c>
      <c r="I7" s="23">
        <v>0.08</v>
      </c>
      <c r="J7" s="23">
        <v>0.08</v>
      </c>
      <c r="K7" s="23">
        <v>0.08</v>
      </c>
      <c r="L7" s="23">
        <v>0.08</v>
      </c>
      <c r="M7" s="23">
        <v>0.08</v>
      </c>
      <c r="N7" s="23">
        <v>0.08</v>
      </c>
      <c r="O7" s="23">
        <v>0.08</v>
      </c>
      <c r="P7" s="23">
        <v>0.08</v>
      </c>
    </row>
    <row r="8" spans="1:16" s="9" customFormat="1" ht="15" x14ac:dyDescent="0.2">
      <c r="B8" s="2" t="s">
        <v>118</v>
      </c>
      <c r="C8" s="22">
        <f>C6-2412000</f>
        <v>861000</v>
      </c>
      <c r="D8" s="22">
        <f>D6-C6</f>
        <v>-5000</v>
      </c>
      <c r="E8" s="22">
        <f>E6-D6</f>
        <v>1035309.9500000002</v>
      </c>
      <c r="F8" s="22">
        <f>F6-E6</f>
        <v>1055890.0499999998</v>
      </c>
      <c r="G8" s="22">
        <f>F6-2412000</f>
        <v>2947200</v>
      </c>
      <c r="H8" s="22">
        <f>H6-G6</f>
        <v>1973909.0412340425</v>
      </c>
      <c r="I8" s="22">
        <f t="shared" ref="I8:P8" si="0">I6-H6</f>
        <v>1216038.4371511098</v>
      </c>
      <c r="J8" s="22">
        <f t="shared" si="0"/>
        <v>1482255.0821909672</v>
      </c>
      <c r="K8" s="22">
        <f t="shared" si="0"/>
        <v>1885837.303986866</v>
      </c>
      <c r="L8" s="22">
        <f t="shared" si="0"/>
        <v>2301408.2767111734</v>
      </c>
      <c r="M8" s="22">
        <f t="shared" si="0"/>
        <v>2826890.581751138</v>
      </c>
      <c r="N8" s="22">
        <f t="shared" si="0"/>
        <v>3478208.6789273955</v>
      </c>
      <c r="O8" s="22">
        <f t="shared" si="0"/>
        <v>4286842.0319048315</v>
      </c>
      <c r="P8" s="22">
        <f t="shared" si="0"/>
        <v>5292466.7572506517</v>
      </c>
    </row>
    <row r="9" spans="1:16" s="9" customFormat="1" ht="15" x14ac:dyDescent="0.2">
      <c r="B9" s="2" t="s">
        <v>119</v>
      </c>
      <c r="C9" s="22">
        <f>C6/(Операционные_затраты!C10/90)</f>
        <v>18.969377985337573</v>
      </c>
      <c r="D9" s="22">
        <f>D6/(Операционные_затраты!D10/90)</f>
        <v>21.928475094759388</v>
      </c>
      <c r="E9" s="22">
        <f>E6/(Операционные_затраты!E10/90)</f>
        <v>24.3</v>
      </c>
      <c r="F9" s="22">
        <f>F6/(Операционные_затраты!F10/90)</f>
        <v>26.099999999999998</v>
      </c>
      <c r="G9" s="22">
        <f>G6/(Операционные_затраты!G10/360)</f>
        <v>23.016496860632547</v>
      </c>
      <c r="H9" s="22">
        <f>H6/(Операционные_затраты!H10/360)</f>
        <v>28.8</v>
      </c>
      <c r="I9" s="22">
        <f>I6/(Операционные_затраты!I10/360)</f>
        <v>28.8</v>
      </c>
      <c r="J9" s="22">
        <f>J6/(Операционные_затраты!J10/360)</f>
        <v>28.800000000000004</v>
      </c>
      <c r="K9" s="22">
        <f>K6/(Операционные_затраты!K10/360)</f>
        <v>28.8</v>
      </c>
      <c r="L9" s="22">
        <f>L6/(Операционные_затраты!L10/360)</f>
        <v>28.799999999999997</v>
      </c>
      <c r="M9" s="22">
        <f>M6/(Операционные_затраты!M10/360)</f>
        <v>28.800000000000004</v>
      </c>
      <c r="N9" s="22">
        <f>N6/(Операционные_затраты!N10/360)</f>
        <v>28.800000000000004</v>
      </c>
      <c r="O9" s="22">
        <f>O6/(Операционные_затраты!O10/360)</f>
        <v>28.800000000000004</v>
      </c>
      <c r="P9" s="22">
        <f>P6/(Операционные_затраты!P10/360)</f>
        <v>28.8</v>
      </c>
    </row>
    <row r="10" spans="1:16" x14ac:dyDescent="0.2">
      <c r="B10" s="1"/>
    </row>
    <row r="11" spans="1:16" s="1" customFormat="1" x14ac:dyDescent="0.2">
      <c r="B11" s="1" t="s">
        <v>73</v>
      </c>
      <c r="C11" s="25">
        <v>8139675.0794735653</v>
      </c>
      <c r="D11" s="25">
        <v>8333000</v>
      </c>
      <c r="E11" s="25">
        <f>E12*Операционные_затраты!E12</f>
        <v>10200438.4</v>
      </c>
      <c r="F11" s="25">
        <f>F12*Операционные_затраты!F12</f>
        <v>11827200</v>
      </c>
      <c r="G11" s="25">
        <f>SUM(C11:F11)/4</f>
        <v>9625078.3698683921</v>
      </c>
      <c r="H11" s="25">
        <f>H12*Операционные_затраты!H12</f>
        <v>12049573.057468086</v>
      </c>
      <c r="I11" s="25">
        <f>I12*Операционные_затраты!I12</f>
        <v>14481649.931770304</v>
      </c>
      <c r="J11" s="25">
        <f>J12*Операционные_затраты!J12</f>
        <v>18318468.100959849</v>
      </c>
      <c r="K11" s="25">
        <f>K12*Операционные_затраты!K12</f>
        <v>21217834.704125971</v>
      </c>
      <c r="L11" s="25">
        <f>L12*Операционные_затраты!L12</f>
        <v>25142859.162037674</v>
      </c>
      <c r="M11" s="25">
        <f>M12*Операционные_затраты!M12</f>
        <v>28681076.543682355</v>
      </c>
      <c r="N11" s="25">
        <f>N12*Операционные_затраты!N12</f>
        <v>34587764.801014848</v>
      </c>
      <c r="O11" s="25">
        <f>O12*Операционные_затраты!O12</f>
        <v>39660075.429790817</v>
      </c>
      <c r="P11" s="25">
        <f>P12*Операционные_затраты!P12</f>
        <v>45351705.543807872</v>
      </c>
    </row>
    <row r="12" spans="1:16" s="1" customFormat="1" x14ac:dyDescent="0.2">
      <c r="B12" s="16" t="s">
        <v>74</v>
      </c>
      <c r="C12" s="14">
        <f>C11/Операционные_затраты!C12</f>
        <v>0.65502522701389942</v>
      </c>
      <c r="D12" s="14">
        <f>D11/Операционные_затраты!D12</f>
        <v>0.77900345891371414</v>
      </c>
      <c r="E12" s="17">
        <v>0.8</v>
      </c>
      <c r="F12" s="17">
        <v>0.8</v>
      </c>
      <c r="G12" s="42">
        <v>0.215</v>
      </c>
      <c r="H12" s="17">
        <v>0.2</v>
      </c>
      <c r="I12" s="17">
        <v>0.2</v>
      </c>
      <c r="J12" s="17">
        <v>0.21</v>
      </c>
      <c r="K12" s="17">
        <v>0.2</v>
      </c>
      <c r="L12" s="17">
        <v>0.19</v>
      </c>
      <c r="M12" s="17">
        <v>0.18</v>
      </c>
      <c r="N12" s="17">
        <v>0.18</v>
      </c>
      <c r="O12" s="17">
        <v>0.18</v>
      </c>
      <c r="P12" s="17">
        <v>0.18</v>
      </c>
    </row>
    <row r="13" spans="1:16" ht="15" x14ac:dyDescent="0.2">
      <c r="B13" s="2" t="s">
        <v>4</v>
      </c>
      <c r="C13" s="11">
        <f>C11-9255000</f>
        <v>-1115324.9205264347</v>
      </c>
      <c r="D13" s="22">
        <f>D11-C11</f>
        <v>193324.92052643467</v>
      </c>
      <c r="E13" s="22">
        <f>E11-D11</f>
        <v>1867438.4000000004</v>
      </c>
      <c r="F13" s="22">
        <f>F11-E11</f>
        <v>1626761.5999999996</v>
      </c>
      <c r="G13" s="22">
        <f>F11-9255000</f>
        <v>2572200</v>
      </c>
      <c r="H13" s="22">
        <f>H11-G11</f>
        <v>2424494.6875996944</v>
      </c>
      <c r="I13" s="22">
        <f t="shared" ref="I13:P13" si="1">I11-H11</f>
        <v>2432076.8743022177</v>
      </c>
      <c r="J13" s="22">
        <f t="shared" si="1"/>
        <v>3836818.1691895444</v>
      </c>
      <c r="K13" s="22">
        <f t="shared" si="1"/>
        <v>2899366.603166122</v>
      </c>
      <c r="L13" s="22">
        <f t="shared" si="1"/>
        <v>3925024.4579117037</v>
      </c>
      <c r="M13" s="22">
        <f t="shared" si="1"/>
        <v>3538217.3816446811</v>
      </c>
      <c r="N13" s="22">
        <f t="shared" si="1"/>
        <v>5906688.2573324926</v>
      </c>
      <c r="O13" s="22">
        <f t="shared" si="1"/>
        <v>5072310.6287759691</v>
      </c>
      <c r="P13" s="22">
        <f t="shared" si="1"/>
        <v>5691630.1140170544</v>
      </c>
    </row>
    <row r="14" spans="1:16" ht="15" x14ac:dyDescent="0.2">
      <c r="B14" s="2" t="s">
        <v>79</v>
      </c>
      <c r="C14" s="11">
        <f>C11/(Операционные_затраты!C12/90)</f>
        <v>58.952270431250952</v>
      </c>
      <c r="D14" s="11">
        <f>D11/(Операционные_затраты!D12/90)</f>
        <v>70.110311302234265</v>
      </c>
      <c r="E14" s="11">
        <f>E11/(Операционные_затраты!E12/90)</f>
        <v>72.000000000000014</v>
      </c>
      <c r="F14" s="11">
        <f>F11/(Операционные_затраты!F12/90)</f>
        <v>72</v>
      </c>
      <c r="G14" s="11">
        <f>G11/(Операционные_затраты!G12/360)</f>
        <v>68.400341549550575</v>
      </c>
      <c r="H14" s="11">
        <f>H11/(Операционные_затраты!H12/360)</f>
        <v>72</v>
      </c>
      <c r="I14" s="11">
        <f>I11/(Операционные_затраты!I12/360)</f>
        <v>72</v>
      </c>
      <c r="J14" s="11">
        <f>J11/(Операционные_затраты!J12/360)</f>
        <v>75.599999999999994</v>
      </c>
      <c r="K14" s="11">
        <f>K11/(Операционные_затраты!K12/360)</f>
        <v>72</v>
      </c>
      <c r="L14" s="11">
        <f>L11/(Операционные_затраты!L12/360)</f>
        <v>68.400000000000006</v>
      </c>
      <c r="M14" s="11">
        <f>M11/(Операционные_затраты!M12/360)</f>
        <v>64.8</v>
      </c>
      <c r="N14" s="11">
        <f>N11/(Операционные_затраты!N12/360)</f>
        <v>64.8</v>
      </c>
      <c r="O14" s="11">
        <f>O11/(Операционные_затраты!O12/360)</f>
        <v>64.8</v>
      </c>
      <c r="P14" s="11">
        <f>P11/(Операционные_затраты!P12/360)</f>
        <v>64.8</v>
      </c>
    </row>
    <row r="17" spans="1:41" s="1" customFormat="1" x14ac:dyDescent="0.2">
      <c r="B17" s="1" t="s">
        <v>80</v>
      </c>
      <c r="C17" s="25">
        <v>6564000</v>
      </c>
      <c r="D17" s="25">
        <v>7440000</v>
      </c>
      <c r="E17" s="25">
        <f>E18*Операционные_затраты!E10</f>
        <v>9562911</v>
      </c>
      <c r="F17" s="25">
        <f>F18*Операционные_затраты!F10</f>
        <v>11088000</v>
      </c>
      <c r="G17" s="25">
        <f>SUM(C17:F17)/4</f>
        <v>8663727.75</v>
      </c>
      <c r="H17" s="25">
        <f>H18*Операционные_затраты!H12</f>
        <v>15061966.321835108</v>
      </c>
      <c r="I17" s="25">
        <f>I18*Операционные_затраты!I12</f>
        <v>18102062.41471288</v>
      </c>
      <c r="J17" s="25">
        <f>J18*Операционные_затраты!J12</f>
        <v>21807700.120190296</v>
      </c>
      <c r="K17" s="25">
        <f>K18*Операционные_затраты!K12</f>
        <v>22278726.439332269</v>
      </c>
      <c r="L17" s="25">
        <f>L18*Операционные_затраты!L12</f>
        <v>27789475.915936377</v>
      </c>
      <c r="M17" s="25">
        <f>M18*Операционные_затраты!M12</f>
        <v>33461255.967629414</v>
      </c>
      <c r="N17" s="25">
        <f>N18*Операционные_затраты!N12</f>
        <v>40352392.267850652</v>
      </c>
      <c r="O17" s="25">
        <f>O18*Операционные_затраты!O12</f>
        <v>46270088.001422621</v>
      </c>
      <c r="P17" s="25">
        <f>P18*Операционные_затраты!P12</f>
        <v>52910323.134442516</v>
      </c>
    </row>
    <row r="18" spans="1:41" s="1" customFormat="1" ht="25.5" x14ac:dyDescent="0.2">
      <c r="B18" s="24" t="s">
        <v>81</v>
      </c>
      <c r="C18" s="54">
        <f>C17/Операционные_затраты!C12</f>
        <v>0.52822570288608039</v>
      </c>
      <c r="D18" s="54">
        <f>D17/Операционные_затраты!D12</f>
        <v>0.69552210900252409</v>
      </c>
      <c r="E18" s="17">
        <v>0.6</v>
      </c>
      <c r="F18" s="17">
        <v>0.6</v>
      </c>
      <c r="G18" s="54">
        <f>G17/Операционные_затраты!G12</f>
        <v>0.1710236975684381</v>
      </c>
      <c r="H18" s="17">
        <v>0.25</v>
      </c>
      <c r="I18" s="17">
        <v>0.25</v>
      </c>
      <c r="J18" s="17">
        <v>0.25</v>
      </c>
      <c r="K18" s="17">
        <v>0.21</v>
      </c>
      <c r="L18" s="17">
        <v>0.21</v>
      </c>
      <c r="M18" s="17">
        <v>0.21</v>
      </c>
      <c r="N18" s="17">
        <v>0.21</v>
      </c>
      <c r="O18" s="17">
        <v>0.21</v>
      </c>
      <c r="P18" s="17">
        <v>0.21</v>
      </c>
    </row>
    <row r="19" spans="1:41" ht="15" x14ac:dyDescent="0.2">
      <c r="B19" s="5" t="s">
        <v>82</v>
      </c>
      <c r="C19" s="22">
        <f>C17-3463000</f>
        <v>3101000</v>
      </c>
      <c r="D19" s="22">
        <f>D17-C17</f>
        <v>876000</v>
      </c>
      <c r="E19" s="22">
        <f>E17-D17</f>
        <v>2122911</v>
      </c>
      <c r="F19" s="22">
        <f>F17-E17</f>
        <v>1525089</v>
      </c>
      <c r="G19" s="22">
        <f>F17-3463000</f>
        <v>7625000</v>
      </c>
      <c r="H19" s="22">
        <f>H17-F17</f>
        <v>3973966.3218351081</v>
      </c>
      <c r="I19" s="22">
        <f t="shared" ref="I19:P19" si="2">I17-H17</f>
        <v>3040096.0928777717</v>
      </c>
      <c r="J19" s="22">
        <f t="shared" si="2"/>
        <v>3705637.7054774165</v>
      </c>
      <c r="K19" s="22">
        <f t="shared" si="2"/>
        <v>471026.31914197281</v>
      </c>
      <c r="L19" s="22">
        <f t="shared" si="2"/>
        <v>5510749.4766041078</v>
      </c>
      <c r="M19" s="22">
        <f t="shared" si="2"/>
        <v>5671780.0516930372</v>
      </c>
      <c r="N19" s="22">
        <f t="shared" si="2"/>
        <v>6891136.3002212383</v>
      </c>
      <c r="O19" s="22">
        <f t="shared" si="2"/>
        <v>5917695.733571969</v>
      </c>
      <c r="P19" s="22">
        <f t="shared" si="2"/>
        <v>6640235.1330198944</v>
      </c>
    </row>
    <row r="20" spans="1:41" ht="15" x14ac:dyDescent="0.2">
      <c r="B20" s="2" t="s">
        <v>83</v>
      </c>
      <c r="C20" s="11">
        <f>C17/((Операционные_затраты!C12+'Cash Flow'!C13)/90)</f>
        <v>52.227966525034283</v>
      </c>
      <c r="D20" s="11">
        <f>D17/((Операционные_затраты!D12+'Cash Flow'!D13)/90)</f>
        <v>61.485768779764911</v>
      </c>
      <c r="E20" s="11">
        <f>E17/((Операционные_затраты!E12+'Cash Flow'!E13)/90)</f>
        <v>58.876918232732791</v>
      </c>
      <c r="F20" s="11">
        <f>F17/((Операционные_затраты!F12+'Cash Flow'!F13)/90)</f>
        <v>60.808877998690811</v>
      </c>
      <c r="G20" s="11">
        <f>G17/((Операционные_затраты!G12+'Cash Flow'!G13)/360)</f>
        <v>58.593407710693917</v>
      </c>
      <c r="H20" s="11">
        <f>H17/((Операционные_затраты!H12+'Cash Flow'!H13)/360)</f>
        <v>86.518329260758293</v>
      </c>
      <c r="I20" s="11">
        <f>I17/((Операционные_затраты!I12+'Cash Flow'!I13)/360)</f>
        <v>87.075281084052534</v>
      </c>
      <c r="J20" s="11">
        <f>J17/((Операционные_затраты!J12+'Cash Flow'!J13)/360)</f>
        <v>86.208162238716383</v>
      </c>
      <c r="K20" s="11">
        <f>K17/((Операционные_затраты!K12+'Cash Flow'!K13)/360)</f>
        <v>73.588851718259676</v>
      </c>
      <c r="L20" s="11">
        <f>L17/((Операционные_затраты!L12+'Cash Flow'!L13)/360)</f>
        <v>73.422245264682545</v>
      </c>
      <c r="M20" s="11">
        <f>M17/((Операционные_затраты!M12+'Cash Flow'!M13)/360)</f>
        <v>73.957727848849188</v>
      </c>
      <c r="N20" s="11">
        <f>N17/((Операционные_затраты!N12+'Cash Flow'!N13)/360)</f>
        <v>73.345412908392134</v>
      </c>
      <c r="O20" s="11">
        <f>O17/((Операционные_затраты!O12+'Cash Flow'!O13)/360)</f>
        <v>73.898773873232557</v>
      </c>
      <c r="P20" s="11">
        <f>P17/((Операционные_затраты!P12+'Cash Flow'!P13)/360)</f>
        <v>73.929925601468241</v>
      </c>
    </row>
    <row r="21" spans="1:41" x14ac:dyDescent="0.2">
      <c r="B21" s="1"/>
    </row>
    <row r="23" spans="1:41" s="29" customFormat="1" ht="15.75" x14ac:dyDescent="0.25">
      <c r="B23" s="4" t="s">
        <v>8</v>
      </c>
      <c r="C23" s="13">
        <f t="shared" ref="C23:P23" si="3">C8+C13-C19</f>
        <v>-3355324.9205264347</v>
      </c>
      <c r="D23" s="13">
        <f t="shared" si="3"/>
        <v>-687675.07947356533</v>
      </c>
      <c r="E23" s="13">
        <f t="shared" si="3"/>
        <v>779837.35000000056</v>
      </c>
      <c r="F23" s="13">
        <f t="shared" si="3"/>
        <v>1157562.6499999994</v>
      </c>
      <c r="G23" s="13">
        <f t="shared" si="3"/>
        <v>-2105600</v>
      </c>
      <c r="H23" s="13">
        <f t="shared" si="3"/>
        <v>424437.40699862875</v>
      </c>
      <c r="I23" s="13">
        <f t="shared" si="3"/>
        <v>608019.21857555583</v>
      </c>
      <c r="J23" s="13">
        <f t="shared" si="3"/>
        <v>1613435.545903095</v>
      </c>
      <c r="K23" s="13">
        <f t="shared" si="3"/>
        <v>4314177.5880110152</v>
      </c>
      <c r="L23" s="13">
        <f t="shared" si="3"/>
        <v>715683.25801876932</v>
      </c>
      <c r="M23" s="13">
        <f t="shared" si="3"/>
        <v>693327.91170278192</v>
      </c>
      <c r="N23" s="13">
        <f t="shared" si="3"/>
        <v>2493760.6360386498</v>
      </c>
      <c r="O23" s="13">
        <f t="shared" si="3"/>
        <v>3441456.9271088317</v>
      </c>
      <c r="P23" s="13">
        <f t="shared" si="3"/>
        <v>4343861.7382478118</v>
      </c>
    </row>
    <row r="25" spans="1:41" ht="15" x14ac:dyDescent="0.2">
      <c r="B25" s="5" t="s">
        <v>12</v>
      </c>
      <c r="C25" s="11">
        <v>233461</v>
      </c>
      <c r="D25" s="11">
        <v>123000</v>
      </c>
      <c r="E25" s="22">
        <f>E26*Операционные_затраты!E10</f>
        <v>159381.85</v>
      </c>
      <c r="F25" s="22">
        <f>F26*Операционные_затраты!F10</f>
        <v>184800</v>
      </c>
      <c r="G25" s="22">
        <f>SUM(C25:F25)</f>
        <v>700642.85</v>
      </c>
      <c r="H25" s="22">
        <f>H26*Операционные_затраты!H10</f>
        <v>1129647.4741376329</v>
      </c>
      <c r="I25" s="22">
        <f>I26*Операционные_затраты!I10</f>
        <v>905103.12073564401</v>
      </c>
      <c r="J25" s="22">
        <f>J26*Операционные_затраты!J10</f>
        <v>1090385.0060095149</v>
      </c>
      <c r="K25" s="22">
        <f>K26*Операционные_затраты!K10</f>
        <v>1326114.6690078732</v>
      </c>
      <c r="L25" s="22">
        <f>L26*Операционные_затраты!L10</f>
        <v>1613790.7035967698</v>
      </c>
      <c r="M25" s="22">
        <f>M26*Операционные_затраты!M10</f>
        <v>1967152.0263156621</v>
      </c>
      <c r="N25" s="22">
        <f>N26*Операционные_затраты!N10</f>
        <v>2401928.1111815865</v>
      </c>
      <c r="O25" s="22">
        <f>O26*Операционные_затраты!O10</f>
        <v>2937783.3651696905</v>
      </c>
      <c r="P25" s="22">
        <f>P26*Операционные_затраты!P10</f>
        <v>3599341.7098260219</v>
      </c>
    </row>
    <row r="26" spans="1:41" s="1" customFormat="1" x14ac:dyDescent="0.2">
      <c r="B26" s="1" t="s">
        <v>75</v>
      </c>
      <c r="C26" s="42">
        <f>C25/Операционные_затраты!C10</f>
        <v>1.5034151318311078E-2</v>
      </c>
      <c r="D26" s="42">
        <f>D25/Операционные_затраты!D10</f>
        <v>9.1704149213090065E-3</v>
      </c>
      <c r="E26" s="19">
        <v>0.01</v>
      </c>
      <c r="F26" s="19">
        <v>0.01</v>
      </c>
      <c r="G26" s="42">
        <f>G25/Операционные_затраты!G10</f>
        <v>1.10581966549302E-2</v>
      </c>
      <c r="H26" s="19">
        <v>1.4999999999999999E-2</v>
      </c>
      <c r="I26" s="19">
        <v>0.01</v>
      </c>
      <c r="J26" s="19">
        <v>0.01</v>
      </c>
      <c r="K26" s="19">
        <v>0.01</v>
      </c>
      <c r="L26" s="19">
        <v>0.01</v>
      </c>
      <c r="M26" s="19">
        <v>0.01</v>
      </c>
      <c r="N26" s="19">
        <v>0.01</v>
      </c>
      <c r="O26" s="19">
        <v>0.01</v>
      </c>
      <c r="P26" s="19">
        <v>0.01</v>
      </c>
    </row>
    <row r="28" spans="1:41" ht="15" x14ac:dyDescent="0.2">
      <c r="B28" s="5" t="s">
        <v>14</v>
      </c>
      <c r="C28" s="11"/>
      <c r="D28" s="51"/>
      <c r="E28" s="22"/>
      <c r="I28" s="22">
        <v>3000000</v>
      </c>
      <c r="J28" s="22">
        <v>3000000</v>
      </c>
    </row>
    <row r="29" spans="1:41" ht="15" x14ac:dyDescent="0.2">
      <c r="B29" s="5"/>
      <c r="C29" s="11"/>
      <c r="D29" s="51"/>
      <c r="E29" s="22"/>
    </row>
    <row r="30" spans="1:41" s="29" customFormat="1" ht="15.75" x14ac:dyDescent="0.25">
      <c r="B30" s="4" t="s">
        <v>13</v>
      </c>
      <c r="C30" s="13">
        <f>C25+C28</f>
        <v>233461</v>
      </c>
      <c r="D30" s="13">
        <f t="shared" ref="D30:P30" si="4">D25+D28</f>
        <v>123000</v>
      </c>
      <c r="E30" s="13">
        <f t="shared" si="4"/>
        <v>159381.85</v>
      </c>
      <c r="F30" s="13">
        <f t="shared" si="4"/>
        <v>184800</v>
      </c>
      <c r="G30" s="13">
        <f t="shared" si="4"/>
        <v>700642.85</v>
      </c>
      <c r="H30" s="13">
        <f t="shared" si="4"/>
        <v>1129647.4741376329</v>
      </c>
      <c r="I30" s="13">
        <f t="shared" si="4"/>
        <v>3905103.1207356439</v>
      </c>
      <c r="J30" s="13">
        <f t="shared" si="4"/>
        <v>4090385.0060095149</v>
      </c>
      <c r="K30" s="13">
        <f t="shared" si="4"/>
        <v>1326114.6690078732</v>
      </c>
      <c r="L30" s="13">
        <f t="shared" si="4"/>
        <v>1613790.7035967698</v>
      </c>
      <c r="M30" s="13">
        <f t="shared" si="4"/>
        <v>1967152.0263156621</v>
      </c>
      <c r="N30" s="13">
        <f t="shared" si="4"/>
        <v>2401928.1111815865</v>
      </c>
      <c r="O30" s="13">
        <f t="shared" si="4"/>
        <v>2937783.3651696905</v>
      </c>
      <c r="P30" s="13">
        <f t="shared" si="4"/>
        <v>3599341.7098260219</v>
      </c>
    </row>
    <row r="32" spans="1:41" s="10" customFormat="1" ht="15.75" x14ac:dyDescent="0.25">
      <c r="A32"/>
      <c r="B32" s="8" t="s">
        <v>5</v>
      </c>
      <c r="C32" s="26">
        <f>Операционные_затраты!C58-'Cash Flow'!C23-'Cash Flow'!C30</f>
        <v>3428984.6871391363</v>
      </c>
      <c r="D32" s="26">
        <f>Операционные_затраты!D58-'Cash Flow'!D23-'Cash Flow'!D30</f>
        <v>392101.87621235847</v>
      </c>
      <c r="E32" s="26">
        <f>Операционные_затраты!E58-'Cash Flow'!E23-'Cash Flow'!E30</f>
        <v>-809955.26004040416</v>
      </c>
      <c r="F32" s="26">
        <f>Операционные_затраты!F58-'Cash Flow'!F23-'Cash Flow'!F30</f>
        <v>-1017550.6499999994</v>
      </c>
      <c r="G32" s="55">
        <f>Операционные_затраты!G58-'Cash Flow'!G23-'Cash Flow'!G30</f>
        <v>1993580.653311091</v>
      </c>
      <c r="H32" s="26">
        <f>Операционные_затраты!H58-'Cash Flow'!H23-'Cash Flow'!H30</f>
        <v>-568987.85576437588</v>
      </c>
      <c r="I32" s="26">
        <f>Операционные_затраты!I58-'Cash Flow'!I23-'Cash Flow'!I30</f>
        <v>-1586540.0652233982</v>
      </c>
      <c r="J32" s="26">
        <f>Операционные_затраты!J58-'Cash Flow'!J23-'Cash Flow'!J30</f>
        <v>-821941.00540162763</v>
      </c>
      <c r="K32" s="26">
        <f>Операционные_затраты!K58-'Cash Flow'!K23-'Cash Flow'!K30</f>
        <v>1880071.2717509121</v>
      </c>
      <c r="L32" s="26">
        <f>Операционные_затраты!L58-'Cash Flow'!L23-'Cash Flow'!L30</f>
        <v>4575894.1008156938</v>
      </c>
      <c r="M32" s="26">
        <f>Операционные_затраты!M58-'Cash Flow'!M23-'Cash Flow'!M30</f>
        <v>9099372.9696476161</v>
      </c>
      <c r="N32" s="26">
        <f>Операционные_затраты!N58-'Cash Flow'!N23-'Cash Flow'!N30</f>
        <v>13108202.687218286</v>
      </c>
      <c r="O32" s="26">
        <f>Операционные_затраты!O58-'Cash Flow'!O23-'Cash Flow'!O30</f>
        <v>33150288.380179979</v>
      </c>
      <c r="P32" s="26">
        <f>Операционные_затраты!P58-'Cash Flow'!P23-'Cash Flow'!P30</f>
        <v>61768036.390818894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5" spans="3:3" x14ac:dyDescent="0.2">
      <c r="C35" s="56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0"/>
  <sheetViews>
    <sheetView workbookViewId="0"/>
  </sheetViews>
  <sheetFormatPr defaultRowHeight="12.75" x14ac:dyDescent="0.2"/>
  <cols>
    <col min="1" max="1" width="3.7109375" customWidth="1"/>
    <col min="2" max="2" width="63.42578125" customWidth="1"/>
    <col min="3" max="3" width="16.5703125" customWidth="1"/>
    <col min="4" max="4" width="15.7109375" customWidth="1"/>
    <col min="5" max="5" width="18.7109375" customWidth="1"/>
    <col min="6" max="6" width="15.42578125" customWidth="1"/>
    <col min="7" max="12" width="15.85546875" bestFit="1" customWidth="1"/>
  </cols>
  <sheetData>
    <row r="2" spans="1:41" ht="15.75" x14ac:dyDescent="0.25">
      <c r="C2" s="12">
        <f>'Cash Flow'!G2</f>
        <v>2003</v>
      </c>
      <c r="D2" s="12">
        <f>'Cash Flow'!H2</f>
        <v>2004</v>
      </c>
      <c r="E2" s="12">
        <f>'Cash Flow'!I2</f>
        <v>2005</v>
      </c>
      <c r="F2" s="12">
        <f>'Cash Flow'!J2</f>
        <v>2006</v>
      </c>
      <c r="G2" s="12">
        <f>'Cash Flow'!K2</f>
        <v>2007</v>
      </c>
      <c r="H2" s="12">
        <f>'Cash Flow'!L2</f>
        <v>2008</v>
      </c>
      <c r="I2" s="12">
        <f>'Cash Flow'!M2</f>
        <v>2009</v>
      </c>
      <c r="J2" s="12">
        <f>'Cash Flow'!N2</f>
        <v>2010</v>
      </c>
      <c r="K2" s="12">
        <f>'Cash Flow'!O2</f>
        <v>2011</v>
      </c>
      <c r="L2" s="12">
        <f>'Cash Flow'!P2</f>
        <v>2012</v>
      </c>
    </row>
    <row r="4" spans="1:41" s="10" customFormat="1" ht="15.75" x14ac:dyDescent="0.25">
      <c r="A4"/>
      <c r="B4" s="57" t="s">
        <v>5</v>
      </c>
      <c r="C4" s="13">
        <f>'Cash Flow'!G32</f>
        <v>1993580.653311091</v>
      </c>
      <c r="D4" s="13">
        <f>'Cash Flow'!H32</f>
        <v>-568987.85576437588</v>
      </c>
      <c r="E4" s="13">
        <f>'Cash Flow'!I32</f>
        <v>-1586540.0652233982</v>
      </c>
      <c r="F4" s="13">
        <f>'Cash Flow'!J32</f>
        <v>-821941.00540162763</v>
      </c>
      <c r="G4" s="13">
        <f>'Cash Flow'!K32</f>
        <v>1880071.2717509121</v>
      </c>
      <c r="H4" s="13">
        <f>'Cash Flow'!L32</f>
        <v>4575894.1008156938</v>
      </c>
      <c r="I4" s="13">
        <f>'Cash Flow'!M32</f>
        <v>9099372.9696476161</v>
      </c>
      <c r="J4" s="13">
        <f>'Cash Flow'!N32</f>
        <v>13108202.687218286</v>
      </c>
      <c r="K4" s="13">
        <f>'Cash Flow'!O32</f>
        <v>33150288.380179979</v>
      </c>
      <c r="L4" s="13">
        <f>'Cash Flow'!P32</f>
        <v>61768036.390818894</v>
      </c>
      <c r="M4" t="s">
        <v>138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6" spans="1:41" s="2" customFormat="1" ht="15" x14ac:dyDescent="0.2">
      <c r="B6" s="2" t="s">
        <v>85</v>
      </c>
      <c r="C6" s="11">
        <f>C4/(1+$C$10)^(C2-2000)</f>
        <v>1151891.739285901</v>
      </c>
      <c r="D6" s="11">
        <f t="shared" ref="D6:L6" si="0">D4/(1+$C$10)^(D2-2000)</f>
        <v>-273825.23450531234</v>
      </c>
      <c r="E6" s="11">
        <f t="shared" si="0"/>
        <v>-635937.05724385241</v>
      </c>
      <c r="F6" s="11">
        <f t="shared" si="0"/>
        <v>-274407.73813433363</v>
      </c>
      <c r="G6" s="11">
        <f t="shared" si="0"/>
        <v>522784.42187761929</v>
      </c>
      <c r="H6" s="11">
        <f t="shared" si="0"/>
        <v>1059782.8993148038</v>
      </c>
      <c r="I6" s="11">
        <f t="shared" si="0"/>
        <v>1755274.4313773159</v>
      </c>
      <c r="J6" s="11">
        <f t="shared" si="0"/>
        <v>2106053.1444478505</v>
      </c>
      <c r="K6" s="11">
        <f t="shared" si="0"/>
        <v>4436148.8143693721</v>
      </c>
      <c r="L6" s="11">
        <f t="shared" si="0"/>
        <v>6884544.4586549727</v>
      </c>
    </row>
    <row r="7" spans="1:41" s="2" customFormat="1" ht="15.75" x14ac:dyDescent="0.25">
      <c r="B7" s="3" t="s">
        <v>100</v>
      </c>
      <c r="C7" s="63">
        <f>SUM(C6:L6)</f>
        <v>16732309.879444338</v>
      </c>
    </row>
    <row r="10" spans="1:41" s="57" customFormat="1" ht="15.75" x14ac:dyDescent="0.25">
      <c r="B10" s="57" t="s">
        <v>84</v>
      </c>
      <c r="C10" s="58">
        <f>C18*C29/(C29+C30)+C26*C30/(C29+C30)</f>
        <v>0.200625</v>
      </c>
    </row>
    <row r="12" spans="1:41" s="2" customFormat="1" ht="15" x14ac:dyDescent="0.2">
      <c r="B12" s="2" t="s">
        <v>86</v>
      </c>
    </row>
    <row r="14" spans="1:41" s="2" customFormat="1" ht="15.75" x14ac:dyDescent="0.25">
      <c r="B14" s="3" t="s">
        <v>92</v>
      </c>
    </row>
    <row r="15" spans="1:41" s="2" customFormat="1" ht="15" x14ac:dyDescent="0.2">
      <c r="B15" s="2" t="s">
        <v>88</v>
      </c>
      <c r="C15" s="59">
        <v>0.06</v>
      </c>
    </row>
    <row r="16" spans="1:41" s="2" customFormat="1" ht="15" x14ac:dyDescent="0.2">
      <c r="B16" s="2" t="s">
        <v>89</v>
      </c>
      <c r="C16" s="59">
        <v>0.04</v>
      </c>
    </row>
    <row r="17" spans="2:3" s="2" customFormat="1" ht="15" x14ac:dyDescent="0.2">
      <c r="B17" s="2" t="s">
        <v>90</v>
      </c>
      <c r="C17" s="59">
        <v>0.02</v>
      </c>
    </row>
    <row r="18" spans="2:3" s="3" customFormat="1" ht="15.75" x14ac:dyDescent="0.25">
      <c r="B18" s="3" t="s">
        <v>91</v>
      </c>
      <c r="C18" s="60">
        <f>C15+C16+C17</f>
        <v>0.12000000000000001</v>
      </c>
    </row>
    <row r="19" spans="2:3" s="2" customFormat="1" ht="15" x14ac:dyDescent="0.2"/>
    <row r="20" spans="2:3" s="2" customFormat="1" ht="15.75" x14ac:dyDescent="0.25">
      <c r="B20" s="3" t="s">
        <v>93</v>
      </c>
    </row>
    <row r="21" spans="2:3" s="2" customFormat="1" ht="15" x14ac:dyDescent="0.2">
      <c r="B21" s="2" t="s">
        <v>87</v>
      </c>
      <c r="C21" s="2">
        <v>0.5</v>
      </c>
    </row>
    <row r="22" spans="2:3" s="2" customFormat="1" ht="15" x14ac:dyDescent="0.2">
      <c r="B22" s="2" t="s">
        <v>88</v>
      </c>
      <c r="C22" s="61">
        <f>C15</f>
        <v>0.06</v>
      </c>
    </row>
    <row r="23" spans="2:3" s="2" customFormat="1" ht="15" x14ac:dyDescent="0.2">
      <c r="B23" s="2" t="s">
        <v>94</v>
      </c>
      <c r="C23" s="61">
        <v>0.04</v>
      </c>
    </row>
    <row r="24" spans="2:3" s="2" customFormat="1" ht="15" x14ac:dyDescent="0.2">
      <c r="B24" s="2" t="s">
        <v>95</v>
      </c>
      <c r="C24" s="61">
        <v>0.1</v>
      </c>
    </row>
    <row r="25" spans="2:3" s="2" customFormat="1" ht="15" x14ac:dyDescent="0.2">
      <c r="B25" s="2" t="s">
        <v>96</v>
      </c>
      <c r="C25" s="61">
        <v>0.16</v>
      </c>
    </row>
    <row r="26" spans="2:3" s="2" customFormat="1" ht="15.75" x14ac:dyDescent="0.25">
      <c r="B26" s="3" t="s">
        <v>97</v>
      </c>
      <c r="C26" s="62">
        <f>C22+C21*(C23+C24+C25)</f>
        <v>0.21000000000000002</v>
      </c>
    </row>
    <row r="27" spans="2:3" s="2" customFormat="1" ht="15" x14ac:dyDescent="0.2"/>
    <row r="28" spans="2:3" s="2" customFormat="1" ht="15.75" x14ac:dyDescent="0.25">
      <c r="B28" s="3" t="s">
        <v>139</v>
      </c>
    </row>
    <row r="29" spans="2:3" s="2" customFormat="1" ht="15" x14ac:dyDescent="0.2">
      <c r="B29" s="2" t="s">
        <v>98</v>
      </c>
      <c r="C29" s="11">
        <v>5000000</v>
      </c>
    </row>
    <row r="30" spans="2:3" s="2" customFormat="1" ht="15" x14ac:dyDescent="0.2">
      <c r="B30" s="2" t="s">
        <v>99</v>
      </c>
      <c r="C30" s="22">
        <v>43000000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22" sqref="A22"/>
    </sheetView>
  </sheetViews>
  <sheetFormatPr defaultRowHeight="12.75" x14ac:dyDescent="0.2"/>
  <sheetData>
    <row r="2" spans="1:7" x14ac:dyDescent="0.2">
      <c r="A2" t="s">
        <v>120</v>
      </c>
    </row>
    <row r="4" spans="1:7" x14ac:dyDescent="0.2">
      <c r="A4" t="s">
        <v>121</v>
      </c>
    </row>
    <row r="5" spans="1:7" x14ac:dyDescent="0.2">
      <c r="B5" t="s">
        <v>122</v>
      </c>
    </row>
    <row r="6" spans="1:7" x14ac:dyDescent="0.2">
      <c r="B6" t="s">
        <v>123</v>
      </c>
    </row>
    <row r="8" spans="1:7" x14ac:dyDescent="0.2">
      <c r="A8" t="s">
        <v>124</v>
      </c>
    </row>
    <row r="9" spans="1:7" x14ac:dyDescent="0.2">
      <c r="B9" t="s">
        <v>125</v>
      </c>
    </row>
    <row r="10" spans="1:7" x14ac:dyDescent="0.2">
      <c r="B10" t="s">
        <v>126</v>
      </c>
    </row>
    <row r="11" spans="1:7" x14ac:dyDescent="0.2">
      <c r="B11" t="s">
        <v>127</v>
      </c>
    </row>
    <row r="12" spans="1:7" x14ac:dyDescent="0.2">
      <c r="B12" t="s">
        <v>128</v>
      </c>
    </row>
    <row r="14" spans="1:7" x14ac:dyDescent="0.2">
      <c r="A14" t="s">
        <v>129</v>
      </c>
    </row>
    <row r="15" spans="1:7" x14ac:dyDescent="0.2">
      <c r="B15" t="s">
        <v>130</v>
      </c>
    </row>
    <row r="16" spans="1:7" x14ac:dyDescent="0.2">
      <c r="B16" t="s">
        <v>131</v>
      </c>
      <c r="G16" t="s">
        <v>134</v>
      </c>
    </row>
    <row r="17" spans="1:7" x14ac:dyDescent="0.2">
      <c r="B17" t="s">
        <v>132</v>
      </c>
      <c r="G17" t="s">
        <v>135</v>
      </c>
    </row>
    <row r="18" spans="1:7" x14ac:dyDescent="0.2">
      <c r="B18" t="s">
        <v>133</v>
      </c>
      <c r="G18" t="s">
        <v>136</v>
      </c>
    </row>
    <row r="20" spans="1:7" x14ac:dyDescent="0.2">
      <c r="A20" t="s">
        <v>137</v>
      </c>
    </row>
  </sheetData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Содержание</vt:lpstr>
      <vt:lpstr>Продажи</vt:lpstr>
      <vt:lpstr>Операционные_затраты</vt:lpstr>
      <vt:lpstr>Cash Flow</vt:lpstr>
      <vt:lpstr>Оценка</vt:lpstr>
      <vt:lpstr>Инфо</vt:lpstr>
      <vt:lpstr>'Cash Flow'!Область_печати</vt:lpstr>
      <vt:lpstr>Операционные_затраты!Область_печати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Economica.pro</dc:creator>
  <cp:lastModifiedBy>DELL</cp:lastModifiedBy>
  <cp:lastPrinted>2001-07-31T08:41:48Z</cp:lastPrinted>
  <dcterms:created xsi:type="dcterms:W3CDTF">2001-06-06T08:35:52Z</dcterms:created>
  <dcterms:modified xsi:type="dcterms:W3CDTF">2017-05-16T07:14:35Z</dcterms:modified>
</cp:coreProperties>
</file>