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C:\Users\DELL\Google Диск\Сайт_Исходные файлы\"/>
    </mc:Choice>
  </mc:AlternateContent>
  <bookViews>
    <workbookView xWindow="360" yWindow="210" windowWidth="14940" windowHeight="9660" tabRatio="601"/>
  </bookViews>
  <sheets>
    <sheet name="Правила" sheetId="31" r:id="rId1"/>
    <sheet name="Справочники" sheetId="9" r:id="rId2"/>
    <sheet name="Нормы" sheetId="17" r:id="rId3"/>
    <sheet name="Цены" sheetId="10" r:id="rId4"/>
    <sheet name="Прогноз затрат" sheetId="13" r:id="rId5"/>
    <sheet name="Матр затрат" sheetId="14" r:id="rId6"/>
    <sheet name="Уровень деятельности" sheetId="15" r:id="rId7"/>
    <sheet name="Производств с-сть" sheetId="1" r:id="rId8"/>
    <sheet name="Парам заказа" sheetId="16" r:id="rId9"/>
    <sheet name="Калькуляция" sheetId="18" r:id="rId10"/>
    <sheet name="Пластины" sheetId="19" r:id="rId11"/>
    <sheet name="Бумага" sheetId="20" r:id="rId12"/>
    <sheet name="Краска" sheetId="21" r:id="rId13"/>
    <sheet name="Резина" sheetId="22" r:id="rId14"/>
    <sheet name="Возв отходы" sheetId="23" r:id="rId15"/>
    <sheet name="Химикаты" sheetId="24" r:id="rId16"/>
    <sheet name="Проволока" sheetId="25" r:id="rId17"/>
    <sheet name="Скотч и бум" sheetId="26" r:id="rId18"/>
    <sheet name="Основ зарплата" sheetId="27" r:id="rId19"/>
    <sheet name="Накл на заказ" sheetId="28" r:id="rId20"/>
    <sheet name="Лист3" sheetId="3" r:id="rId21"/>
    <sheet name="Анализ П-Ф" sheetId="6" r:id="rId22"/>
  </sheets>
  <calcPr calcId="162913"/>
</workbook>
</file>

<file path=xl/calcChain.xml><?xml version="1.0" encoding="utf-8"?>
<calcChain xmlns="http://schemas.openxmlformats.org/spreadsheetml/2006/main">
  <c r="B33" i="6" l="1"/>
  <c r="B34" i="6"/>
  <c r="B35" i="6"/>
  <c r="B36" i="6"/>
  <c r="B37" i="6"/>
  <c r="B38" i="6"/>
  <c r="B3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15" i="6"/>
  <c r="B16" i="6"/>
  <c r="B17" i="6"/>
  <c r="B18" i="6"/>
  <c r="B19" i="6"/>
  <c r="B3" i="6"/>
  <c r="B4" i="6"/>
  <c r="B5" i="6"/>
  <c r="B6" i="6"/>
  <c r="B7" i="6"/>
  <c r="B8" i="6"/>
  <c r="B9" i="6"/>
  <c r="B10" i="6"/>
  <c r="B11" i="6"/>
  <c r="B12" i="6"/>
  <c r="B13" i="6"/>
  <c r="B14" i="6"/>
  <c r="B2" i="6"/>
  <c r="B4" i="20"/>
  <c r="C4" i="20" s="1"/>
  <c r="B5" i="20"/>
  <c r="C5" i="20"/>
  <c r="B6" i="20"/>
  <c r="C6" i="20" s="1"/>
  <c r="B7" i="20"/>
  <c r="C7" i="20"/>
  <c r="B8" i="20"/>
  <c r="C8" i="20" s="1"/>
  <c r="B3" i="20"/>
  <c r="C3" i="20"/>
  <c r="H3" i="20" s="1"/>
  <c r="H2" i="20" s="1"/>
  <c r="C6" i="16" s="1"/>
  <c r="D5" i="23" s="1"/>
  <c r="I8" i="20"/>
  <c r="J8" i="20" s="1"/>
  <c r="H8" i="20"/>
  <c r="I7" i="20"/>
  <c r="J7" i="20" s="1"/>
  <c r="H7" i="20"/>
  <c r="I6" i="20"/>
  <c r="J6" i="20"/>
  <c r="H6" i="20"/>
  <c r="I5" i="20"/>
  <c r="J5" i="20"/>
  <c r="H5" i="20"/>
  <c r="I4" i="20"/>
  <c r="J4" i="20" s="1"/>
  <c r="H4" i="20"/>
  <c r="I3" i="20"/>
  <c r="J3" i="20" s="1"/>
  <c r="B2" i="20"/>
  <c r="E4" i="23"/>
  <c r="E5" i="23"/>
  <c r="E6" i="23"/>
  <c r="D6" i="23"/>
  <c r="E3" i="23"/>
  <c r="C4" i="23"/>
  <c r="C6" i="23"/>
  <c r="C5" i="23"/>
  <c r="C3" i="23"/>
  <c r="C2" i="23"/>
  <c r="D3" i="23"/>
  <c r="G3" i="19"/>
  <c r="G2" i="19" s="1"/>
  <c r="G4" i="19"/>
  <c r="G5" i="19"/>
  <c r="G6" i="19"/>
  <c r="G7" i="19"/>
  <c r="G8" i="19"/>
  <c r="B78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58" i="10"/>
  <c r="B57" i="10"/>
  <c r="B52" i="10"/>
  <c r="B51" i="10"/>
  <c r="B50" i="10"/>
  <c r="B49" i="10"/>
  <c r="B48" i="10"/>
  <c r="B47" i="10"/>
  <c r="B46" i="10"/>
  <c r="B45" i="10"/>
  <c r="B44" i="10"/>
  <c r="B43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2" i="10"/>
  <c r="B21" i="10"/>
  <c r="B20" i="10"/>
  <c r="B15" i="10"/>
  <c r="B14" i="10"/>
  <c r="B13" i="10"/>
  <c r="B12" i="10"/>
  <c r="B11" i="10"/>
  <c r="B10" i="10"/>
  <c r="F6" i="23" s="1"/>
  <c r="G6" i="23" s="1"/>
  <c r="B5" i="10"/>
  <c r="F4" i="23" s="1"/>
  <c r="B4" i="10"/>
  <c r="F5" i="23"/>
  <c r="B3" i="18"/>
  <c r="P17" i="18"/>
  <c r="B16" i="18"/>
  <c r="P18" i="18" s="1"/>
  <c r="B21" i="18"/>
  <c r="P19" i="18"/>
  <c r="B22" i="18"/>
  <c r="P20" i="18" s="1"/>
  <c r="P21" i="18"/>
  <c r="B18" i="18"/>
  <c r="B19" i="18"/>
  <c r="B20" i="18"/>
  <c r="B17" i="18"/>
  <c r="B5" i="18"/>
  <c r="B6" i="18"/>
  <c r="B7" i="18"/>
  <c r="B8" i="18"/>
  <c r="B9" i="18"/>
  <c r="B10" i="18"/>
  <c r="B11" i="18"/>
  <c r="B12" i="18"/>
  <c r="B13" i="18"/>
  <c r="B14" i="18"/>
  <c r="B15" i="18"/>
  <c r="B4" i="18"/>
  <c r="C19" i="16"/>
  <c r="C15" i="18" s="1"/>
  <c r="C2" i="25"/>
  <c r="D2" i="25"/>
  <c r="F2" i="25"/>
  <c r="C11" i="18" s="1"/>
  <c r="E2" i="25"/>
  <c r="B2" i="21"/>
  <c r="B3" i="21"/>
  <c r="B4" i="21" s="1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B149" i="17"/>
  <c r="A149" i="17"/>
  <c r="B148" i="17"/>
  <c r="A148" i="17" s="1"/>
  <c r="A147" i="17"/>
  <c r="B146" i="17"/>
  <c r="A146" i="17" s="1"/>
  <c r="A145" i="17"/>
  <c r="B144" i="17"/>
  <c r="A144" i="17"/>
  <c r="A143" i="17"/>
  <c r="B142" i="17"/>
  <c r="A142" i="17" s="1"/>
  <c r="A141" i="17"/>
  <c r="B140" i="17"/>
  <c r="A140" i="17" s="1"/>
  <c r="A139" i="17"/>
  <c r="B138" i="17"/>
  <c r="A138" i="17" s="1"/>
  <c r="B137" i="17"/>
  <c r="A137" i="17"/>
  <c r="B136" i="17"/>
  <c r="A136" i="17" s="1"/>
  <c r="B135" i="17"/>
  <c r="A135" i="17"/>
  <c r="B134" i="17"/>
  <c r="A134" i="17" s="1"/>
  <c r="B133" i="17"/>
  <c r="A133" i="17"/>
  <c r="B132" i="17"/>
  <c r="A132" i="17" s="1"/>
  <c r="B131" i="17"/>
  <c r="A131" i="17"/>
  <c r="B130" i="17"/>
  <c r="A130" i="17" s="1"/>
  <c r="B129" i="17"/>
  <c r="A129" i="17"/>
  <c r="B128" i="17"/>
  <c r="A128" i="17" s="1"/>
  <c r="B127" i="17"/>
  <c r="A127" i="17"/>
  <c r="B126" i="17"/>
  <c r="A126" i="17" s="1"/>
  <c r="B125" i="17"/>
  <c r="A125" i="17"/>
  <c r="B124" i="17"/>
  <c r="A124" i="17" s="1"/>
  <c r="B123" i="17"/>
  <c r="A123" i="17"/>
  <c r="B122" i="17"/>
  <c r="A122" i="17" s="1"/>
  <c r="B121" i="17"/>
  <c r="A121" i="17"/>
  <c r="B120" i="17"/>
  <c r="A120" i="17" s="1"/>
  <c r="B119" i="17"/>
  <c r="A119" i="17"/>
  <c r="B118" i="17"/>
  <c r="A118" i="17" s="1"/>
  <c r="B117" i="17"/>
  <c r="A117" i="17"/>
  <c r="B116" i="17"/>
  <c r="A116" i="17" s="1"/>
  <c r="A115" i="17"/>
  <c r="B114" i="17"/>
  <c r="A114" i="17"/>
  <c r="B113" i="17"/>
  <c r="A113" i="17" s="1"/>
  <c r="B112" i="17"/>
  <c r="A112" i="17"/>
  <c r="B111" i="17"/>
  <c r="A111" i="17" s="1"/>
  <c r="B110" i="17"/>
  <c r="A110" i="17"/>
  <c r="B109" i="17"/>
  <c r="A109" i="17" s="1"/>
  <c r="B108" i="17"/>
  <c r="A108" i="17"/>
  <c r="B107" i="17"/>
  <c r="A107" i="17" s="1"/>
  <c r="B106" i="17"/>
  <c r="A106" i="17"/>
  <c r="B105" i="17"/>
  <c r="A105" i="17" s="1"/>
  <c r="B104" i="17"/>
  <c r="A104" i="17"/>
  <c r="B103" i="17"/>
  <c r="A103" i="17" s="1"/>
  <c r="B102" i="17"/>
  <c r="A102" i="17"/>
  <c r="B101" i="17"/>
  <c r="A101" i="17" s="1"/>
  <c r="B100" i="17"/>
  <c r="A100" i="17"/>
  <c r="B99" i="17"/>
  <c r="A99" i="17" s="1"/>
  <c r="B98" i="17"/>
  <c r="A98" i="17"/>
  <c r="B97" i="17"/>
  <c r="A97" i="17" s="1"/>
  <c r="B96" i="17"/>
  <c r="A96" i="17"/>
  <c r="B95" i="17"/>
  <c r="A95" i="17" s="1"/>
  <c r="B94" i="17"/>
  <c r="A94" i="17"/>
  <c r="B93" i="17"/>
  <c r="A93" i="17" s="1"/>
  <c r="B92" i="17"/>
  <c r="A92" i="17"/>
  <c r="A91" i="17"/>
  <c r="B90" i="17"/>
  <c r="A90" i="17"/>
  <c r="B89" i="17"/>
  <c r="A89" i="17" s="1"/>
  <c r="B88" i="17"/>
  <c r="A88" i="17"/>
  <c r="B87" i="17"/>
  <c r="A87" i="17" s="1"/>
  <c r="B86" i="17"/>
  <c r="A86" i="17"/>
  <c r="B85" i="17"/>
  <c r="A85" i="17" s="1"/>
  <c r="B84" i="17"/>
  <c r="A84" i="17"/>
  <c r="B83" i="17"/>
  <c r="A83" i="17" s="1"/>
  <c r="B82" i="17"/>
  <c r="A82" i="17"/>
  <c r="B81" i="17"/>
  <c r="A81" i="17" s="1"/>
  <c r="B80" i="17"/>
  <c r="A80" i="17"/>
  <c r="B79" i="17"/>
  <c r="A79" i="17" s="1"/>
  <c r="B78" i="17"/>
  <c r="A78" i="17"/>
  <c r="B77" i="17"/>
  <c r="A77" i="17" s="1"/>
  <c r="B76" i="17"/>
  <c r="A76" i="17"/>
  <c r="B75" i="17"/>
  <c r="A75" i="17" s="1"/>
  <c r="B74" i="17"/>
  <c r="A74" i="17"/>
  <c r="B73" i="17"/>
  <c r="A73" i="17" s="1"/>
  <c r="B72" i="17"/>
  <c r="A72" i="17"/>
  <c r="B71" i="17"/>
  <c r="A71" i="17" s="1"/>
  <c r="B70" i="17"/>
  <c r="A70" i="17"/>
  <c r="B69" i="17"/>
  <c r="A69" i="17" s="1"/>
  <c r="B68" i="17"/>
  <c r="A68" i="17"/>
  <c r="A67" i="17"/>
  <c r="B66" i="17"/>
  <c r="A66" i="17" s="1"/>
  <c r="B65" i="17"/>
  <c r="A65" i="17"/>
  <c r="B64" i="17"/>
  <c r="A64" i="17" s="1"/>
  <c r="B63" i="17"/>
  <c r="A63" i="17"/>
  <c r="B62" i="17"/>
  <c r="A62" i="17" s="1"/>
  <c r="B61" i="17"/>
  <c r="A61" i="17"/>
  <c r="B60" i="17"/>
  <c r="A60" i="17" s="1"/>
  <c r="B59" i="17"/>
  <c r="A59" i="17"/>
  <c r="B58" i="17"/>
  <c r="A58" i="17" s="1"/>
  <c r="B57" i="17"/>
  <c r="A57" i="17"/>
  <c r="B56" i="17"/>
  <c r="A56" i="17" s="1"/>
  <c r="B55" i="17"/>
  <c r="A55" i="17"/>
  <c r="B54" i="17"/>
  <c r="A54" i="17" s="1"/>
  <c r="B53" i="17"/>
  <c r="A53" i="17"/>
  <c r="B52" i="17"/>
  <c r="A52" i="17" s="1"/>
  <c r="B51" i="17"/>
  <c r="A51" i="17"/>
  <c r="B50" i="17"/>
  <c r="A50" i="17" s="1"/>
  <c r="B49" i="17"/>
  <c r="A49" i="17"/>
  <c r="B48" i="17"/>
  <c r="A48" i="17" s="1"/>
  <c r="B47" i="17"/>
  <c r="A47" i="17"/>
  <c r="B46" i="17"/>
  <c r="A46" i="17" s="1"/>
  <c r="B45" i="17"/>
  <c r="A45" i="17"/>
  <c r="B44" i="17"/>
  <c r="A44" i="17" s="1"/>
  <c r="A43" i="17"/>
  <c r="B42" i="17"/>
  <c r="A42" i="17" s="1"/>
  <c r="B41" i="17"/>
  <c r="A41" i="17"/>
  <c r="B40" i="17"/>
  <c r="A40" i="17" s="1"/>
  <c r="B39" i="17"/>
  <c r="A39" i="17"/>
  <c r="B38" i="17"/>
  <c r="A38" i="17" s="1"/>
  <c r="B37" i="17"/>
  <c r="A37" i="17"/>
  <c r="B36" i="17"/>
  <c r="A36" i="17" s="1"/>
  <c r="B35" i="17"/>
  <c r="A35" i="17"/>
  <c r="B34" i="17"/>
  <c r="A34" i="17" s="1"/>
  <c r="B33" i="17"/>
  <c r="A33" i="17"/>
  <c r="B32" i="17"/>
  <c r="A32" i="17" s="1"/>
  <c r="B31" i="17"/>
  <c r="A31" i="17"/>
  <c r="B30" i="17"/>
  <c r="A30" i="17" s="1"/>
  <c r="B29" i="17"/>
  <c r="A29" i="17"/>
  <c r="B28" i="17"/>
  <c r="A28" i="17" s="1"/>
  <c r="B27" i="17"/>
  <c r="A27" i="17"/>
  <c r="B26" i="17"/>
  <c r="A26" i="17" s="1"/>
  <c r="B25" i="17"/>
  <c r="A25" i="17"/>
  <c r="B24" i="17"/>
  <c r="A24" i="17" s="1"/>
  <c r="B23" i="17"/>
  <c r="A23" i="17"/>
  <c r="B22" i="17"/>
  <c r="A22" i="17" s="1"/>
  <c r="B21" i="17"/>
  <c r="A21" i="17"/>
  <c r="B20" i="17"/>
  <c r="A20" i="17" s="1"/>
  <c r="A19" i="17"/>
  <c r="B18" i="17"/>
  <c r="A18" i="17"/>
  <c r="B17" i="17"/>
  <c r="A17" i="17" s="1"/>
  <c r="B16" i="17"/>
  <c r="A16" i="17"/>
  <c r="B15" i="17"/>
  <c r="A15" i="17" s="1"/>
  <c r="B14" i="17"/>
  <c r="A14" i="17"/>
  <c r="B13" i="17"/>
  <c r="A13" i="17" s="1"/>
  <c r="B12" i="17"/>
  <c r="A12" i="17"/>
  <c r="B11" i="17"/>
  <c r="A11" i="17" s="1"/>
  <c r="A10" i="17"/>
  <c r="B8" i="17"/>
  <c r="A8" i="17" s="1"/>
  <c r="B7" i="17"/>
  <c r="A7" i="17"/>
  <c r="B6" i="17"/>
  <c r="A6" i="17" s="1"/>
  <c r="B5" i="17"/>
  <c r="A5" i="17"/>
  <c r="B4" i="17"/>
  <c r="A4" i="17" s="1"/>
  <c r="F6" i="24" s="1"/>
  <c r="B3" i="17"/>
  <c r="A3" i="17"/>
  <c r="A2" i="17"/>
  <c r="H4" i="21"/>
  <c r="H5" i="21"/>
  <c r="H6" i="21"/>
  <c r="H7" i="21"/>
  <c r="H8" i="21"/>
  <c r="H9" i="21"/>
  <c r="H10" i="21"/>
  <c r="H11" i="21"/>
  <c r="H12" i="21"/>
  <c r="H13" i="21"/>
  <c r="H14" i="21"/>
  <c r="H16" i="21"/>
  <c r="H17" i="21"/>
  <c r="H18" i="21"/>
  <c r="H19" i="21"/>
  <c r="H20" i="21"/>
  <c r="H21" i="21"/>
  <c r="H22" i="21"/>
  <c r="H23" i="21"/>
  <c r="H24" i="21"/>
  <c r="H25" i="21"/>
  <c r="A3" i="24"/>
  <c r="F3" i="24" s="1"/>
  <c r="H3" i="24"/>
  <c r="A4" i="24"/>
  <c r="F4" i="24" s="1"/>
  <c r="H4" i="24"/>
  <c r="A5" i="24"/>
  <c r="F5" i="24"/>
  <c r="H5" i="24"/>
  <c r="A6" i="24"/>
  <c r="H6" i="24"/>
  <c r="A7" i="24"/>
  <c r="F7" i="24" s="1"/>
  <c r="H7" i="24"/>
  <c r="A8" i="24"/>
  <c r="H8" i="24"/>
  <c r="E3" i="21"/>
  <c r="E15" i="21"/>
  <c r="E2" i="21"/>
  <c r="C10" i="16" s="1"/>
  <c r="B11" i="24"/>
  <c r="A11" i="24" s="1"/>
  <c r="F11" i="24" s="1"/>
  <c r="H11" i="24"/>
  <c r="B12" i="24"/>
  <c r="A12" i="24" s="1"/>
  <c r="F12" i="24"/>
  <c r="H12" i="24"/>
  <c r="B13" i="24"/>
  <c r="A13" i="24"/>
  <c r="F13" i="24"/>
  <c r="H13" i="24"/>
  <c r="B14" i="24"/>
  <c r="A14" i="24" s="1"/>
  <c r="F14" i="24" s="1"/>
  <c r="H14" i="24"/>
  <c r="B15" i="24"/>
  <c r="A15" i="24"/>
  <c r="F15" i="24" s="1"/>
  <c r="H15" i="24"/>
  <c r="B16" i="24"/>
  <c r="A16" i="24" s="1"/>
  <c r="F16" i="24" s="1"/>
  <c r="H16" i="24"/>
  <c r="B17" i="24"/>
  <c r="A17" i="24"/>
  <c r="F17" i="24" s="1"/>
  <c r="H17" i="24"/>
  <c r="E3" i="22"/>
  <c r="B2" i="22"/>
  <c r="B3" i="22" s="1"/>
  <c r="H3" i="22"/>
  <c r="E4" i="22"/>
  <c r="H4" i="22"/>
  <c r="H3" i="19"/>
  <c r="I3" i="19" s="1"/>
  <c r="J3" i="19"/>
  <c r="H4" i="19"/>
  <c r="I4" i="19"/>
  <c r="K4" i="19" s="1"/>
  <c r="J4" i="19"/>
  <c r="H5" i="19"/>
  <c r="I5" i="19" s="1"/>
  <c r="J5" i="19"/>
  <c r="H6" i="19"/>
  <c r="I6" i="19"/>
  <c r="K6" i="19" s="1"/>
  <c r="J6" i="19"/>
  <c r="H7" i="19"/>
  <c r="I7" i="19" s="1"/>
  <c r="K7" i="19" s="1"/>
  <c r="J7" i="19"/>
  <c r="H8" i="19"/>
  <c r="I8" i="19"/>
  <c r="K8" i="19" s="1"/>
  <c r="J8" i="19"/>
  <c r="C2" i="26"/>
  <c r="D2" i="26"/>
  <c r="E3" i="27"/>
  <c r="A3" i="27"/>
  <c r="F3" i="27"/>
  <c r="G3" i="27"/>
  <c r="I3" i="27" s="1"/>
  <c r="H3" i="27"/>
  <c r="B4" i="27"/>
  <c r="A4" i="27" s="1"/>
  <c r="E4" i="27"/>
  <c r="F4" i="27"/>
  <c r="H4" i="27"/>
  <c r="E5" i="27"/>
  <c r="A5" i="27"/>
  <c r="F5" i="27"/>
  <c r="G5" i="27" s="1"/>
  <c r="I5" i="27" s="1"/>
  <c r="H5" i="27"/>
  <c r="E6" i="27"/>
  <c r="A6" i="27"/>
  <c r="F6" i="27" s="1"/>
  <c r="H6" i="27"/>
  <c r="E7" i="27"/>
  <c r="G7" i="27" s="1"/>
  <c r="I7" i="27" s="1"/>
  <c r="A7" i="27"/>
  <c r="F7" i="27" s="1"/>
  <c r="H7" i="27"/>
  <c r="E8" i="27"/>
  <c r="A8" i="27"/>
  <c r="F8" i="27" s="1"/>
  <c r="G8" i="27" s="1"/>
  <c r="I8" i="27" s="1"/>
  <c r="H8" i="27"/>
  <c r="E9" i="27"/>
  <c r="A9" i="27"/>
  <c r="F9" i="27" s="1"/>
  <c r="G9" i="27" s="1"/>
  <c r="I9" i="27" s="1"/>
  <c r="H9" i="27"/>
  <c r="C30" i="28"/>
  <c r="C22" i="28"/>
  <c r="C14" i="28"/>
  <c r="C6" i="28"/>
  <c r="B21" i="28"/>
  <c r="A21" i="28" s="1"/>
  <c r="E21" i="28" s="1"/>
  <c r="C2" i="13"/>
  <c r="A2" i="13" s="1"/>
  <c r="C3" i="13"/>
  <c r="A3" i="13"/>
  <c r="C4" i="13"/>
  <c r="A4" i="13" s="1"/>
  <c r="C5" i="13"/>
  <c r="A5" i="13"/>
  <c r="C6" i="13"/>
  <c r="B22" i="28"/>
  <c r="C7" i="13"/>
  <c r="A7" i="13" s="1"/>
  <c r="C8" i="13"/>
  <c r="A8" i="13"/>
  <c r="C9" i="13"/>
  <c r="A9" i="13" s="1"/>
  <c r="C10" i="13"/>
  <c r="A10" i="13"/>
  <c r="C11" i="13"/>
  <c r="A11" i="13" s="1"/>
  <c r="C12" i="13"/>
  <c r="A12" i="13"/>
  <c r="B12" i="13"/>
  <c r="I12" i="13" s="1"/>
  <c r="J12" i="13" s="1"/>
  <c r="F23" i="28"/>
  <c r="B23" i="28"/>
  <c r="A23" i="28" s="1"/>
  <c r="C13" i="13"/>
  <c r="A13" i="13"/>
  <c r="C14" i="13"/>
  <c r="A14" i="13" s="1"/>
  <c r="C15" i="13"/>
  <c r="A15" i="13"/>
  <c r="C16" i="13"/>
  <c r="A16" i="13" s="1"/>
  <c r="C17" i="13"/>
  <c r="A17" i="13"/>
  <c r="C18" i="13"/>
  <c r="A18" i="13" s="1"/>
  <c r="C19" i="13"/>
  <c r="A19" i="13"/>
  <c r="C20" i="13"/>
  <c r="A20" i="13" s="1"/>
  <c r="C21" i="13"/>
  <c r="A21" i="13"/>
  <c r="C22" i="13"/>
  <c r="A22" i="13" s="1"/>
  <c r="C23" i="13"/>
  <c r="A23" i="13"/>
  <c r="C24" i="13"/>
  <c r="A24" i="13" s="1"/>
  <c r="C25" i="13"/>
  <c r="A25" i="13"/>
  <c r="C26" i="13"/>
  <c r="A26" i="13" s="1"/>
  <c r="C27" i="13"/>
  <c r="A27" i="13"/>
  <c r="C28" i="13"/>
  <c r="A28" i="13" s="1"/>
  <c r="C29" i="13"/>
  <c r="A29" i="13"/>
  <c r="C30" i="13"/>
  <c r="A30" i="13" s="1"/>
  <c r="C31" i="13"/>
  <c r="A31" i="13"/>
  <c r="C32" i="13"/>
  <c r="A32" i="13" s="1"/>
  <c r="C33" i="13"/>
  <c r="A33" i="13"/>
  <c r="C34" i="13"/>
  <c r="A34" i="13" s="1"/>
  <c r="C35" i="13"/>
  <c r="A35" i="13"/>
  <c r="C36" i="13"/>
  <c r="A36" i="13" s="1"/>
  <c r="C37" i="13"/>
  <c r="A37" i="13"/>
  <c r="C38" i="13"/>
  <c r="A38" i="13" s="1"/>
  <c r="C39" i="13"/>
  <c r="A39" i="13"/>
  <c r="C40" i="13"/>
  <c r="A40" i="13" s="1"/>
  <c r="C41" i="13"/>
  <c r="C42" i="13"/>
  <c r="A42" i="13" s="1"/>
  <c r="F24" i="28"/>
  <c r="B24" i="28"/>
  <c r="A24" i="28"/>
  <c r="C43" i="13"/>
  <c r="A43" i="13" s="1"/>
  <c r="C44" i="13"/>
  <c r="A44" i="13"/>
  <c r="C45" i="13"/>
  <c r="A45" i="13" s="1"/>
  <c r="C46" i="13"/>
  <c r="A46" i="13"/>
  <c r="C47" i="13"/>
  <c r="A47" i="13" s="1"/>
  <c r="C48" i="13"/>
  <c r="A48" i="13"/>
  <c r="B48" i="13"/>
  <c r="I48" i="13" s="1"/>
  <c r="J48" i="13" s="1"/>
  <c r="F25" i="28"/>
  <c r="B25" i="28"/>
  <c r="A25" i="28" s="1"/>
  <c r="C49" i="13"/>
  <c r="C50" i="13"/>
  <c r="A50" i="13"/>
  <c r="C51" i="13"/>
  <c r="A51" i="13" s="1"/>
  <c r="C52" i="13"/>
  <c r="A52" i="13"/>
  <c r="C53" i="13"/>
  <c r="A53" i="13" s="1"/>
  <c r="C54" i="13"/>
  <c r="F26" i="28"/>
  <c r="B26" i="28"/>
  <c r="A26" i="28" s="1"/>
  <c r="C55" i="13"/>
  <c r="B55" i="13" s="1"/>
  <c r="I55" i="13" s="1"/>
  <c r="J55" i="13" s="1"/>
  <c r="C56" i="13"/>
  <c r="A56" i="13" s="1"/>
  <c r="C57" i="13"/>
  <c r="A57" i="13"/>
  <c r="C58" i="13"/>
  <c r="A58" i="13" s="1"/>
  <c r="C59" i="13"/>
  <c r="A59" i="13"/>
  <c r="C60" i="13"/>
  <c r="A60" i="13" s="1"/>
  <c r="B60" i="13"/>
  <c r="I60" i="13" s="1"/>
  <c r="J60" i="13" s="1"/>
  <c r="F27" i="28"/>
  <c r="B27" i="28"/>
  <c r="A27" i="28" s="1"/>
  <c r="C61" i="13"/>
  <c r="A61" i="13"/>
  <c r="C62" i="13"/>
  <c r="A62" i="13" s="1"/>
  <c r="C63" i="13"/>
  <c r="A63" i="13"/>
  <c r="C64" i="13"/>
  <c r="A64" i="13" s="1"/>
  <c r="C65" i="13"/>
  <c r="C66" i="13"/>
  <c r="A66" i="13"/>
  <c r="B29" i="28"/>
  <c r="A29" i="28" s="1"/>
  <c r="B7" i="13"/>
  <c r="I7" i="13"/>
  <c r="J7" i="13"/>
  <c r="B30" i="28"/>
  <c r="A30" i="28"/>
  <c r="B13" i="13"/>
  <c r="I13" i="13" s="1"/>
  <c r="J13" i="13" s="1"/>
  <c r="F31" i="28"/>
  <c r="B31" i="28"/>
  <c r="A31" i="28" s="1"/>
  <c r="B43" i="13"/>
  <c r="I43" i="13"/>
  <c r="J43" i="13"/>
  <c r="F32" i="28"/>
  <c r="B32" i="28"/>
  <c r="A32" i="28"/>
  <c r="F33" i="28"/>
  <c r="B33" i="28"/>
  <c r="A33" i="28" s="1"/>
  <c r="F34" i="28"/>
  <c r="B34" i="28"/>
  <c r="A34" i="28"/>
  <c r="B61" i="13"/>
  <c r="I61" i="13" s="1"/>
  <c r="J61" i="13" s="1"/>
  <c r="F35" i="28"/>
  <c r="B35" i="28"/>
  <c r="A35" i="28" s="1"/>
  <c r="C67" i="13"/>
  <c r="A67" i="13"/>
  <c r="B67" i="13"/>
  <c r="I67" i="13" s="1"/>
  <c r="J67" i="13" s="1"/>
  <c r="B13" i="28"/>
  <c r="A13" i="28" s="1"/>
  <c r="B5" i="13"/>
  <c r="I5" i="13"/>
  <c r="J5" i="13"/>
  <c r="B14" i="28"/>
  <c r="F15" i="28"/>
  <c r="B15" i="28"/>
  <c r="A15" i="28"/>
  <c r="F16" i="28"/>
  <c r="B16" i="28"/>
  <c r="A16" i="28"/>
  <c r="B47" i="13"/>
  <c r="I47" i="13" s="1"/>
  <c r="J47" i="13" s="1"/>
  <c r="F17" i="28"/>
  <c r="B17" i="28"/>
  <c r="A17" i="28" s="1"/>
  <c r="B53" i="13"/>
  <c r="I53" i="13"/>
  <c r="J53" i="13"/>
  <c r="F18" i="28"/>
  <c r="B18" i="28"/>
  <c r="A18" i="28"/>
  <c r="B59" i="13"/>
  <c r="I59" i="13" s="1"/>
  <c r="J59" i="13" s="1"/>
  <c r="F19" i="28"/>
  <c r="B19" i="28"/>
  <c r="A19" i="28" s="1"/>
  <c r="F5" i="28"/>
  <c r="B5" i="28"/>
  <c r="A5" i="28"/>
  <c r="B4" i="13"/>
  <c r="I4" i="13" s="1"/>
  <c r="J4" i="13" s="1"/>
  <c r="G5" i="28" s="1"/>
  <c r="H5" i="28" s="1"/>
  <c r="F6" i="28"/>
  <c r="B6" i="28"/>
  <c r="A6" i="28" s="1"/>
  <c r="B10" i="13"/>
  <c r="I10" i="13"/>
  <c r="J10" i="13" s="1"/>
  <c r="F7" i="28"/>
  <c r="B7" i="28"/>
  <c r="A7" i="28"/>
  <c r="B40" i="13"/>
  <c r="I40" i="13" s="1"/>
  <c r="J40" i="13" s="1"/>
  <c r="F8" i="28"/>
  <c r="B8" i="28"/>
  <c r="A8" i="28" s="1"/>
  <c r="B46" i="13"/>
  <c r="I46" i="13"/>
  <c r="J46" i="13" s="1"/>
  <c r="F9" i="28"/>
  <c r="B9" i="28"/>
  <c r="A9" i="28"/>
  <c r="B52" i="13"/>
  <c r="I52" i="13" s="1"/>
  <c r="J52" i="13" s="1"/>
  <c r="F10" i="28"/>
  <c r="B10" i="28"/>
  <c r="A10" i="28" s="1"/>
  <c r="B58" i="13"/>
  <c r="I58" i="13"/>
  <c r="J58" i="13" s="1"/>
  <c r="F11" i="28"/>
  <c r="B11" i="28"/>
  <c r="A11" i="28"/>
  <c r="A37" i="28"/>
  <c r="C68" i="13"/>
  <c r="A68" i="13" s="1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B83" i="13"/>
  <c r="I83" i="13"/>
  <c r="J83" i="13"/>
  <c r="A36" i="28"/>
  <c r="B69" i="13"/>
  <c r="I69" i="13"/>
  <c r="J69" i="13"/>
  <c r="D16" i="21"/>
  <c r="D17" i="21"/>
  <c r="D18" i="21"/>
  <c r="D19" i="21"/>
  <c r="D20" i="21"/>
  <c r="D21" i="21"/>
  <c r="D6" i="21"/>
  <c r="D7" i="21"/>
  <c r="D8" i="21"/>
  <c r="D9" i="21"/>
  <c r="D10" i="21"/>
  <c r="D11" i="21"/>
  <c r="D12" i="21"/>
  <c r="D13" i="21"/>
  <c r="D14" i="21"/>
  <c r="A3" i="21"/>
  <c r="A2" i="21"/>
  <c r="D25" i="21"/>
  <c r="D24" i="21"/>
  <c r="D23" i="21"/>
  <c r="D22" i="21"/>
  <c r="D5" i="21"/>
  <c r="D4" i="21"/>
  <c r="D2" i="21"/>
  <c r="O2" i="14"/>
  <c r="P2" i="14"/>
  <c r="Q2" i="14"/>
  <c r="E2" i="14"/>
  <c r="F2" i="14"/>
  <c r="G2" i="14"/>
  <c r="H2" i="14"/>
  <c r="I2" i="14"/>
  <c r="J2" i="14"/>
  <c r="K2" i="14"/>
  <c r="L2" i="14"/>
  <c r="M2" i="14"/>
  <c r="N2" i="14"/>
  <c r="D2" i="14"/>
  <c r="C2" i="14"/>
  <c r="D37" i="28"/>
  <c r="D2" i="28"/>
  <c r="D36" i="28"/>
  <c r="D30" i="28"/>
  <c r="D31" i="28"/>
  <c r="D32" i="28"/>
  <c r="D33" i="28"/>
  <c r="D34" i="28"/>
  <c r="D35" i="28"/>
  <c r="D29" i="28"/>
  <c r="B28" i="28"/>
  <c r="A28" i="28"/>
  <c r="D28" i="28"/>
  <c r="D22" i="28"/>
  <c r="D23" i="28"/>
  <c r="D24" i="28"/>
  <c r="D25" i="28"/>
  <c r="D26" i="28"/>
  <c r="D27" i="28"/>
  <c r="D21" i="28"/>
  <c r="B20" i="28"/>
  <c r="A20" i="28" s="1"/>
  <c r="D20" i="28"/>
  <c r="D14" i="28"/>
  <c r="D15" i="28"/>
  <c r="D16" i="28"/>
  <c r="D17" i="28"/>
  <c r="D18" i="28"/>
  <c r="D19" i="28"/>
  <c r="D13" i="28"/>
  <c r="B12" i="28"/>
  <c r="A12" i="28"/>
  <c r="D12" i="28"/>
  <c r="D3" i="28"/>
  <c r="B4" i="28"/>
  <c r="A4" i="28"/>
  <c r="D6" i="28"/>
  <c r="D4" i="28"/>
  <c r="D11" i="28"/>
  <c r="D10" i="28"/>
  <c r="D9" i="28"/>
  <c r="D8" i="28"/>
  <c r="D7" i="28"/>
  <c r="D5" i="28"/>
  <c r="H13" i="13"/>
  <c r="H7" i="13"/>
  <c r="H12" i="13"/>
  <c r="H6" i="13"/>
  <c r="H11" i="13"/>
  <c r="H5" i="13"/>
  <c r="H10" i="13"/>
  <c r="H4" i="13"/>
  <c r="H83" i="13"/>
  <c r="H41" i="13"/>
  <c r="H40" i="13"/>
  <c r="H69" i="13"/>
  <c r="H43" i="13"/>
  <c r="H49" i="13"/>
  <c r="H55" i="13"/>
  <c r="H61" i="13"/>
  <c r="H67" i="13"/>
  <c r="H42" i="13"/>
  <c r="H48" i="13"/>
  <c r="H54" i="13"/>
  <c r="H60" i="13"/>
  <c r="H66" i="13"/>
  <c r="H47" i="13"/>
  <c r="H53" i="13"/>
  <c r="H59" i="13"/>
  <c r="H65" i="13"/>
  <c r="H46" i="13"/>
  <c r="H52" i="13"/>
  <c r="H58" i="13"/>
  <c r="H64" i="13"/>
  <c r="D128" i="17"/>
  <c r="D127" i="17"/>
  <c r="D104" i="17"/>
  <c r="D103" i="17"/>
  <c r="D80" i="17"/>
  <c r="D79" i="17"/>
  <c r="D56" i="17"/>
  <c r="D55" i="17"/>
  <c r="D32" i="17"/>
  <c r="D31" i="17"/>
  <c r="D9" i="17"/>
  <c r="B9" i="17"/>
  <c r="D149" i="17"/>
  <c r="D8" i="17"/>
  <c r="D138" i="17"/>
  <c r="D137" i="17"/>
  <c r="D136" i="17"/>
  <c r="D135" i="17"/>
  <c r="D134" i="17"/>
  <c r="D133" i="17"/>
  <c r="D132" i="17"/>
  <c r="D131" i="17"/>
  <c r="D130" i="17"/>
  <c r="D129" i="17"/>
  <c r="D126" i="17"/>
  <c r="D125" i="17"/>
  <c r="D124" i="17"/>
  <c r="D123" i="17"/>
  <c r="D122" i="17"/>
  <c r="D121" i="17"/>
  <c r="D120" i="17"/>
  <c r="D119" i="17"/>
  <c r="D118" i="17"/>
  <c r="D117" i="17"/>
  <c r="D116" i="17"/>
  <c r="D114" i="17"/>
  <c r="D113" i="17"/>
  <c r="D112" i="17"/>
  <c r="D111" i="17"/>
  <c r="D110" i="17"/>
  <c r="D109" i="17"/>
  <c r="D108" i="17"/>
  <c r="D107" i="17"/>
  <c r="D106" i="17"/>
  <c r="D105" i="17"/>
  <c r="D102" i="17"/>
  <c r="D101" i="17"/>
  <c r="D100" i="17"/>
  <c r="D99" i="17"/>
  <c r="D98" i="17"/>
  <c r="D97" i="17"/>
  <c r="D96" i="17"/>
  <c r="D95" i="17"/>
  <c r="D94" i="17"/>
  <c r="D93" i="17"/>
  <c r="D92" i="17"/>
  <c r="D90" i="17"/>
  <c r="D89" i="17"/>
  <c r="D88" i="17"/>
  <c r="D87" i="17"/>
  <c r="D86" i="17"/>
  <c r="D85" i="17"/>
  <c r="D84" i="17"/>
  <c r="D83" i="17"/>
  <c r="D82" i="17"/>
  <c r="D81" i="17"/>
  <c r="D78" i="17"/>
  <c r="D77" i="17"/>
  <c r="D76" i="17"/>
  <c r="D75" i="17"/>
  <c r="D74" i="17"/>
  <c r="D73" i="17"/>
  <c r="D72" i="17"/>
  <c r="D71" i="17"/>
  <c r="D70" i="17"/>
  <c r="D69" i="17"/>
  <c r="D68" i="17"/>
  <c r="D66" i="17"/>
  <c r="D65" i="17"/>
  <c r="D64" i="17"/>
  <c r="D63" i="17"/>
  <c r="D62" i="17"/>
  <c r="D61" i="17"/>
  <c r="D60" i="17"/>
  <c r="D59" i="17"/>
  <c r="D58" i="17"/>
  <c r="D57" i="17"/>
  <c r="D54" i="17"/>
  <c r="D53" i="17"/>
  <c r="D52" i="17"/>
  <c r="D51" i="17"/>
  <c r="D50" i="17"/>
  <c r="D49" i="17"/>
  <c r="D48" i="17"/>
  <c r="D47" i="17"/>
  <c r="D46" i="17"/>
  <c r="D45" i="17"/>
  <c r="D44" i="17"/>
  <c r="D2" i="17"/>
  <c r="D148" i="17"/>
  <c r="D146" i="17"/>
  <c r="D144" i="17"/>
  <c r="D142" i="17"/>
  <c r="D140" i="17"/>
  <c r="D115" i="17"/>
  <c r="D91" i="17"/>
  <c r="D67" i="17"/>
  <c r="D43" i="17"/>
  <c r="D42" i="17"/>
  <c r="D41" i="17"/>
  <c r="D40" i="17"/>
  <c r="D39" i="17"/>
  <c r="D38" i="17"/>
  <c r="D37" i="17"/>
  <c r="D36" i="17"/>
  <c r="D35" i="17"/>
  <c r="D34" i="17"/>
  <c r="D33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6" i="17"/>
  <c r="D5" i="17"/>
  <c r="D4" i="17"/>
  <c r="D3" i="17"/>
  <c r="E2" i="27"/>
  <c r="D6" i="27"/>
  <c r="D7" i="27"/>
  <c r="D8" i="27"/>
  <c r="D9" i="27"/>
  <c r="D5" i="27"/>
  <c r="D4" i="27"/>
  <c r="D3" i="27"/>
  <c r="D2" i="27"/>
  <c r="B19" i="16"/>
  <c r="B27" i="16"/>
  <c r="B21" i="16"/>
  <c r="B22" i="16"/>
  <c r="B23" i="16"/>
  <c r="B24" i="16"/>
  <c r="B25" i="16"/>
  <c r="B20" i="16"/>
  <c r="B6" i="16"/>
  <c r="B12" i="16"/>
  <c r="B14" i="16"/>
  <c r="B15" i="16"/>
  <c r="B16" i="16"/>
  <c r="B17" i="16"/>
  <c r="B13" i="16"/>
  <c r="B8" i="16"/>
  <c r="B4" i="16"/>
  <c r="B4" i="19"/>
  <c r="B5" i="19"/>
  <c r="B6" i="19"/>
  <c r="B7" i="19"/>
  <c r="B8" i="19"/>
  <c r="B3" i="19"/>
  <c r="B2" i="19"/>
  <c r="B2" i="25"/>
  <c r="A84" i="13"/>
  <c r="A85" i="13"/>
  <c r="A86" i="13"/>
  <c r="A87" i="13"/>
  <c r="A88" i="13"/>
  <c r="A89" i="13"/>
  <c r="A90" i="13"/>
  <c r="A91" i="13"/>
  <c r="F3" i="13"/>
  <c r="F9" i="13"/>
  <c r="F15" i="13"/>
  <c r="F21" i="13"/>
  <c r="F39" i="13"/>
  <c r="F45" i="13"/>
  <c r="F27" i="13"/>
  <c r="F33" i="13"/>
  <c r="F51" i="13"/>
  <c r="F57" i="13"/>
  <c r="F63" i="13"/>
  <c r="B16" i="13"/>
  <c r="I16" i="13"/>
  <c r="J16" i="13" s="1"/>
  <c r="B17" i="13"/>
  <c r="I17" i="13"/>
  <c r="J17" i="13"/>
  <c r="B18" i="13"/>
  <c r="I18" i="13" s="1"/>
  <c r="J18" i="13" s="1"/>
  <c r="B19" i="13"/>
  <c r="I19" i="13" s="1"/>
  <c r="J19" i="13" s="1"/>
  <c r="B22" i="13"/>
  <c r="I22" i="13"/>
  <c r="J22" i="13" s="1"/>
  <c r="B23" i="13"/>
  <c r="I23" i="13"/>
  <c r="J23" i="13"/>
  <c r="B24" i="13"/>
  <c r="I24" i="13" s="1"/>
  <c r="J24" i="13" s="1"/>
  <c r="B25" i="13"/>
  <c r="I25" i="13" s="1"/>
  <c r="J25" i="13" s="1"/>
  <c r="B28" i="13"/>
  <c r="I28" i="13"/>
  <c r="J28" i="13" s="1"/>
  <c r="B29" i="13"/>
  <c r="I29" i="13"/>
  <c r="J29" i="13"/>
  <c r="B30" i="13"/>
  <c r="I30" i="13" s="1"/>
  <c r="J30" i="13" s="1"/>
  <c r="B31" i="13"/>
  <c r="I31" i="13" s="1"/>
  <c r="J31" i="13" s="1"/>
  <c r="B34" i="13"/>
  <c r="I34" i="13"/>
  <c r="J34" i="13" s="1"/>
  <c r="B35" i="13"/>
  <c r="I35" i="13"/>
  <c r="J35" i="13"/>
  <c r="B36" i="13"/>
  <c r="I36" i="13" s="1"/>
  <c r="J36" i="13" s="1"/>
  <c r="B37" i="13"/>
  <c r="I37" i="13" s="1"/>
  <c r="J37" i="13" s="1"/>
  <c r="H37" i="13"/>
  <c r="H36" i="13"/>
  <c r="H35" i="13"/>
  <c r="H34" i="13"/>
  <c r="H31" i="13"/>
  <c r="H30" i="13"/>
  <c r="H29" i="13"/>
  <c r="H28" i="13"/>
  <c r="H25" i="13"/>
  <c r="H24" i="13"/>
  <c r="H23" i="13"/>
  <c r="H22" i="13"/>
  <c r="H19" i="13"/>
  <c r="H18" i="13"/>
  <c r="H17" i="13"/>
  <c r="H16" i="13"/>
  <c r="B50" i="13"/>
  <c r="B51" i="13"/>
  <c r="B56" i="13"/>
  <c r="B57" i="13"/>
  <c r="B62" i="13"/>
  <c r="B63" i="13"/>
  <c r="B68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4" i="13"/>
  <c r="B85" i="13"/>
  <c r="B86" i="13"/>
  <c r="B87" i="13"/>
  <c r="B88" i="13"/>
  <c r="B89" i="13"/>
  <c r="B90" i="13"/>
  <c r="B91" i="13"/>
  <c r="B8" i="13"/>
  <c r="B9" i="13"/>
  <c r="B14" i="13"/>
  <c r="B15" i="13"/>
  <c r="B20" i="13"/>
  <c r="B21" i="13"/>
  <c r="B26" i="13"/>
  <c r="B27" i="13"/>
  <c r="B32" i="13"/>
  <c r="B33" i="13"/>
  <c r="B38" i="13"/>
  <c r="B39" i="13"/>
  <c r="B44" i="13"/>
  <c r="B45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2" i="13"/>
  <c r="E3" i="13"/>
  <c r="E4" i="13"/>
  <c r="A2" i="22"/>
  <c r="D4" i="22"/>
  <c r="D3" i="22"/>
  <c r="D2" i="22"/>
  <c r="B2" i="26"/>
  <c r="D4" i="15"/>
  <c r="D16" i="15"/>
  <c r="C7" i="15"/>
  <c r="C8" i="15"/>
  <c r="C9" i="15"/>
  <c r="C10" i="15"/>
  <c r="C11" i="15"/>
  <c r="C12" i="15"/>
  <c r="C13" i="15"/>
  <c r="C14" i="15"/>
  <c r="C15" i="15"/>
  <c r="C6" i="15"/>
  <c r="C5" i="15"/>
  <c r="C3" i="15"/>
  <c r="C18" i="15"/>
  <c r="C19" i="15"/>
  <c r="C20" i="15"/>
  <c r="C21" i="15"/>
  <c r="C17" i="15"/>
  <c r="D17" i="24"/>
  <c r="D15" i="24"/>
  <c r="B18" i="24"/>
  <c r="A18" i="24" s="1"/>
  <c r="B19" i="24"/>
  <c r="B21" i="24"/>
  <c r="A21" i="24"/>
  <c r="B22" i="24"/>
  <c r="B23" i="24" s="1"/>
  <c r="B10" i="24"/>
  <c r="A10" i="24" s="1"/>
  <c r="A9" i="24"/>
  <c r="A19" i="24"/>
  <c r="A22" i="24"/>
  <c r="D16" i="24"/>
  <c r="D14" i="24"/>
  <c r="D13" i="24"/>
  <c r="D12" i="24"/>
  <c r="D11" i="24"/>
  <c r="D8" i="24"/>
  <c r="D7" i="24"/>
  <c r="D6" i="24"/>
  <c r="D5" i="24"/>
  <c r="D4" i="24"/>
  <c r="D3" i="24"/>
  <c r="D18" i="24"/>
  <c r="A2" i="24"/>
  <c r="A6" i="13"/>
  <c r="G30" i="28" s="1"/>
  <c r="B6" i="13"/>
  <c r="I6" i="13" s="1"/>
  <c r="J6" i="13" s="1"/>
  <c r="A49" i="13"/>
  <c r="B49" i="13"/>
  <c r="I49" i="13"/>
  <c r="J49" i="13"/>
  <c r="E30" i="28"/>
  <c r="G29" i="28"/>
  <c r="A41" i="13"/>
  <c r="B41" i="13"/>
  <c r="I41" i="13" s="1"/>
  <c r="J41" i="13" s="1"/>
  <c r="G15" i="28" s="1"/>
  <c r="H15" i="28" s="1"/>
  <c r="G21" i="28"/>
  <c r="G7" i="28"/>
  <c r="H7" i="28" s="1"/>
  <c r="E5" i="28"/>
  <c r="G16" i="28"/>
  <c r="H16" i="28" s="1"/>
  <c r="A65" i="13"/>
  <c r="B65" i="13"/>
  <c r="I65" i="13"/>
  <c r="J65" i="13"/>
  <c r="A54" i="13"/>
  <c r="B54" i="13"/>
  <c r="I54" i="13" s="1"/>
  <c r="J54" i="13" s="1"/>
  <c r="E23" i="28"/>
  <c r="G6" i="27"/>
  <c r="I6" i="27"/>
  <c r="A22" i="28"/>
  <c r="E11" i="24"/>
  <c r="G11" i="24" s="1"/>
  <c r="I11" i="24" s="1"/>
  <c r="B66" i="13"/>
  <c r="I66" i="13" s="1"/>
  <c r="J66" i="13" s="1"/>
  <c r="B42" i="13"/>
  <c r="I42" i="13" s="1"/>
  <c r="J42" i="13" s="1"/>
  <c r="G23" i="28"/>
  <c r="H23" i="28" s="1"/>
  <c r="E2" i="26"/>
  <c r="C12" i="18"/>
  <c r="K3" i="19"/>
  <c r="B5" i="21"/>
  <c r="B6" i="21" s="1"/>
  <c r="B7" i="21" s="1"/>
  <c r="A7" i="21" s="1"/>
  <c r="F7" i="21" s="1"/>
  <c r="A4" i="21"/>
  <c r="F4" i="21" s="1"/>
  <c r="C4" i="16"/>
  <c r="D4" i="23" s="1"/>
  <c r="E3" i="24"/>
  <c r="G3" i="24" s="1"/>
  <c r="I3" i="24" s="1"/>
  <c r="E5" i="24"/>
  <c r="G5" i="24"/>
  <c r="I5" i="24" s="1"/>
  <c r="E7" i="24"/>
  <c r="G7" i="24"/>
  <c r="I7" i="24"/>
  <c r="F21" i="28"/>
  <c r="H21" i="28"/>
  <c r="F29" i="28"/>
  <c r="H29" i="28" s="1"/>
  <c r="F13" i="28"/>
  <c r="E15" i="28"/>
  <c r="A5" i="21"/>
  <c r="F5" i="21" s="1"/>
  <c r="G5" i="21" s="1"/>
  <c r="G22" i="28"/>
  <c r="E22" i="28"/>
  <c r="B8" i="21"/>
  <c r="A8" i="21" s="1"/>
  <c r="F8" i="21" s="1"/>
  <c r="I8" i="21" s="1"/>
  <c r="I7" i="21"/>
  <c r="G7" i="21"/>
  <c r="B9" i="21"/>
  <c r="B10" i="21" s="1"/>
  <c r="G8" i="21"/>
  <c r="I4" i="21" l="1"/>
  <c r="G4" i="21"/>
  <c r="G8" i="28"/>
  <c r="H8" i="28" s="1"/>
  <c r="E8" i="28"/>
  <c r="G6" i="28"/>
  <c r="H6" i="28" s="1"/>
  <c r="E6" i="28"/>
  <c r="G13" i="28"/>
  <c r="E13" i="28"/>
  <c r="G9" i="28"/>
  <c r="H9" i="28" s="1"/>
  <c r="E24" i="28"/>
  <c r="E9" i="28"/>
  <c r="E25" i="28"/>
  <c r="E16" i="28"/>
  <c r="G32" i="28"/>
  <c r="H32" i="28" s="1"/>
  <c r="G25" i="28"/>
  <c r="H25" i="28" s="1"/>
  <c r="E34" i="28"/>
  <c r="G24" i="28"/>
  <c r="H24" i="28" s="1"/>
  <c r="B11" i="21"/>
  <c r="A10" i="21"/>
  <c r="F10" i="21" s="1"/>
  <c r="I5" i="21"/>
  <c r="F91" i="13"/>
  <c r="K5" i="19"/>
  <c r="K2" i="19" s="1"/>
  <c r="C5" i="18" s="1"/>
  <c r="I2" i="19"/>
  <c r="C4" i="18" s="1"/>
  <c r="E17" i="28"/>
  <c r="G17" i="28"/>
  <c r="H17" i="28" s="1"/>
  <c r="F22" i="28"/>
  <c r="H22" i="28" s="1"/>
  <c r="E13" i="24"/>
  <c r="G13" i="24" s="1"/>
  <c r="I13" i="24" s="1"/>
  <c r="I10" i="24" s="1"/>
  <c r="E15" i="24"/>
  <c r="G15" i="24" s="1"/>
  <c r="I15" i="24" s="1"/>
  <c r="F30" i="28"/>
  <c r="H30" i="28" s="1"/>
  <c r="F14" i="28"/>
  <c r="E16" i="24"/>
  <c r="G16" i="24" s="1"/>
  <c r="I16" i="24" s="1"/>
  <c r="E17" i="24"/>
  <c r="G17" i="24" s="1"/>
  <c r="I17" i="24" s="1"/>
  <c r="E14" i="24"/>
  <c r="G14" i="24" s="1"/>
  <c r="I14" i="24" s="1"/>
  <c r="E12" i="24"/>
  <c r="G12" i="24" s="1"/>
  <c r="I12" i="24" s="1"/>
  <c r="H13" i="28"/>
  <c r="A23" i="24"/>
  <c r="B24" i="24"/>
  <c r="A9" i="21"/>
  <c r="F9" i="21" s="1"/>
  <c r="A6" i="21"/>
  <c r="F6" i="21" s="1"/>
  <c r="G33" i="28"/>
  <c r="H33" i="28" s="1"/>
  <c r="G31" i="28"/>
  <c r="H31" i="28" s="1"/>
  <c r="E31" i="28"/>
  <c r="A3" i="22"/>
  <c r="F3" i="22" s="1"/>
  <c r="G3" i="22" s="1"/>
  <c r="I3" i="22" s="1"/>
  <c r="B4" i="22"/>
  <c r="A4" i="22" s="1"/>
  <c r="F4" i="22" s="1"/>
  <c r="G4" i="22" s="1"/>
  <c r="I4" i="22" s="1"/>
  <c r="E32" i="28"/>
  <c r="E29" i="28"/>
  <c r="E7" i="28"/>
  <c r="A14" i="28"/>
  <c r="J2" i="20"/>
  <c r="C6" i="18" s="1"/>
  <c r="B64" i="13"/>
  <c r="I64" i="13" s="1"/>
  <c r="J64" i="13" s="1"/>
  <c r="G11" i="28" s="1"/>
  <c r="H11" i="28" s="1"/>
  <c r="A55" i="13"/>
  <c r="G10" i="28" s="1"/>
  <c r="H10" i="28" s="1"/>
  <c r="H4" i="28" s="1"/>
  <c r="F8" i="24"/>
  <c r="B11" i="13"/>
  <c r="I11" i="13" s="1"/>
  <c r="J11" i="13" s="1"/>
  <c r="G4" i="27"/>
  <c r="G4" i="23"/>
  <c r="E4" i="24"/>
  <c r="G4" i="24" s="1"/>
  <c r="I4" i="24" s="1"/>
  <c r="E8" i="24"/>
  <c r="E6" i="24"/>
  <c r="G6" i="24" s="1"/>
  <c r="I6" i="24" s="1"/>
  <c r="F3" i="23"/>
  <c r="G3" i="23" s="1"/>
  <c r="G2" i="23" s="1"/>
  <c r="C7" i="18" s="1"/>
  <c r="G5" i="23"/>
  <c r="C17" i="18" l="1"/>
  <c r="G8" i="24"/>
  <c r="I8" i="24" s="1"/>
  <c r="I2" i="24" s="1"/>
  <c r="I18" i="24" s="1"/>
  <c r="C9" i="18" s="1"/>
  <c r="I10" i="21"/>
  <c r="G10" i="21"/>
  <c r="G35" i="28"/>
  <c r="H35" i="28" s="1"/>
  <c r="G14" i="28"/>
  <c r="E14" i="28"/>
  <c r="B25" i="24"/>
  <c r="A24" i="24"/>
  <c r="E37" i="28"/>
  <c r="E18" i="28"/>
  <c r="E33" i="28"/>
  <c r="G26" i="28"/>
  <c r="H26" i="28" s="1"/>
  <c r="H20" i="28" s="1"/>
  <c r="C19" i="18" s="1"/>
  <c r="E19" i="28"/>
  <c r="G37" i="28"/>
  <c r="B12" i="21"/>
  <c r="A11" i="21"/>
  <c r="F11" i="21" s="1"/>
  <c r="G18" i="28"/>
  <c r="H18" i="28" s="1"/>
  <c r="E26" i="28"/>
  <c r="G27" i="28"/>
  <c r="H27" i="28" s="1"/>
  <c r="G6" i="21"/>
  <c r="I6" i="21"/>
  <c r="G36" i="28"/>
  <c r="E11" i="28"/>
  <c r="E27" i="28"/>
  <c r="I4" i="27"/>
  <c r="I2" i="27" s="1"/>
  <c r="C14" i="18" s="1"/>
  <c r="G2" i="27"/>
  <c r="C13" i="18" s="1"/>
  <c r="I2" i="22"/>
  <c r="C10" i="18" s="1"/>
  <c r="G19" i="28"/>
  <c r="H19" i="28" s="1"/>
  <c r="H12" i="28" s="1"/>
  <c r="G9" i="21"/>
  <c r="I9" i="21"/>
  <c r="H14" i="28"/>
  <c r="G34" i="28"/>
  <c r="H34" i="28" s="1"/>
  <c r="H28" i="28" s="1"/>
  <c r="C20" i="18" s="1"/>
  <c r="E36" i="28"/>
  <c r="E35" i="28"/>
  <c r="E10" i="28"/>
  <c r="C18" i="18" l="1"/>
  <c r="C16" i="18" s="1"/>
  <c r="Q18" i="18" s="1"/>
  <c r="H3" i="28"/>
  <c r="G11" i="21"/>
  <c r="I11" i="21"/>
  <c r="A12" i="21"/>
  <c r="F12" i="21" s="1"/>
  <c r="B13" i="21"/>
  <c r="A25" i="24"/>
  <c r="B26" i="24"/>
  <c r="I12" i="21" l="1"/>
  <c r="G12" i="21"/>
  <c r="B27" i="24"/>
  <c r="A26" i="24"/>
  <c r="A13" i="21"/>
  <c r="F13" i="21" s="1"/>
  <c r="B14" i="21"/>
  <c r="A27" i="24" l="1"/>
  <c r="B28" i="24"/>
  <c r="B15" i="21"/>
  <c r="A14" i="21"/>
  <c r="F14" i="21" s="1"/>
  <c r="I13" i="21"/>
  <c r="G13" i="21"/>
  <c r="G14" i="21" l="1"/>
  <c r="G3" i="21" s="1"/>
  <c r="I14" i="21"/>
  <c r="I3" i="21" s="1"/>
  <c r="B16" i="21"/>
  <c r="A15" i="21"/>
  <c r="A28" i="24"/>
  <c r="B29" i="24"/>
  <c r="A29" i="24" l="1"/>
  <c r="B30" i="24"/>
  <c r="B17" i="21"/>
  <c r="A16" i="21"/>
  <c r="F16" i="21" s="1"/>
  <c r="A17" i="21" l="1"/>
  <c r="F17" i="21" s="1"/>
  <c r="B18" i="21"/>
  <c r="B31" i="24"/>
  <c r="A30" i="24"/>
  <c r="G16" i="21"/>
  <c r="I16" i="21"/>
  <c r="A31" i="24" l="1"/>
  <c r="B32" i="24"/>
  <c r="B19" i="21"/>
  <c r="A18" i="21"/>
  <c r="F18" i="21" s="1"/>
  <c r="I17" i="21"/>
  <c r="G17" i="21"/>
  <c r="A32" i="24" l="1"/>
  <c r="B33" i="24"/>
  <c r="I18" i="21"/>
  <c r="G18" i="21"/>
  <c r="A19" i="21"/>
  <c r="F19" i="21" s="1"/>
  <c r="B20" i="21"/>
  <c r="B21" i="21" l="1"/>
  <c r="A20" i="21"/>
  <c r="F20" i="21" s="1"/>
  <c r="A33" i="24"/>
  <c r="B34" i="24"/>
  <c r="G19" i="21"/>
  <c r="I19" i="21"/>
  <c r="I20" i="21" l="1"/>
  <c r="G20" i="21"/>
  <c r="A34" i="24"/>
  <c r="B35" i="24"/>
  <c r="B22" i="21"/>
  <c r="A21" i="21"/>
  <c r="F21" i="21" s="1"/>
  <c r="A35" i="24" l="1"/>
  <c r="B36" i="24"/>
  <c r="I21" i="21"/>
  <c r="G21" i="21"/>
  <c r="A22" i="21"/>
  <c r="F22" i="21" s="1"/>
  <c r="B23" i="21"/>
  <c r="B24" i="21" l="1"/>
  <c r="A23" i="21"/>
  <c r="F23" i="21" s="1"/>
  <c r="A36" i="24"/>
  <c r="B37" i="24"/>
  <c r="G22" i="21"/>
  <c r="I22" i="21"/>
  <c r="G23" i="21" l="1"/>
  <c r="I23" i="21"/>
  <c r="B38" i="24"/>
  <c r="A37" i="24"/>
  <c r="A24" i="21"/>
  <c r="F24" i="21" s="1"/>
  <c r="B25" i="21"/>
  <c r="A25" i="21" s="1"/>
  <c r="F25" i="21" s="1"/>
  <c r="A38" i="24" l="1"/>
  <c r="B39" i="24"/>
  <c r="I25" i="21"/>
  <c r="I15" i="21" s="1"/>
  <c r="I2" i="21" s="1"/>
  <c r="C8" i="18" s="1"/>
  <c r="C3" i="18" s="1"/>
  <c r="G25" i="21"/>
  <c r="G15" i="21" s="1"/>
  <c r="G2" i="21" s="1"/>
  <c r="G24" i="21"/>
  <c r="I24" i="21"/>
  <c r="Q17" i="18" l="1"/>
  <c r="H2" i="28"/>
  <c r="A39" i="24"/>
  <c r="B40" i="24"/>
  <c r="F37" i="28" l="1"/>
  <c r="H37" i="28" s="1"/>
  <c r="C22" i="18" s="1"/>
  <c r="Q20" i="18" s="1"/>
  <c r="F36" i="28"/>
  <c r="H36" i="28" s="1"/>
  <c r="C21" i="18" s="1"/>
  <c r="B41" i="24"/>
  <c r="A40" i="24"/>
  <c r="B42" i="24" l="1"/>
  <c r="A41" i="24"/>
  <c r="Q19" i="18"/>
  <c r="C23" i="18"/>
  <c r="C25" i="18" s="1"/>
  <c r="C26" i="18" l="1"/>
  <c r="Q21" i="18"/>
  <c r="A42" i="24"/>
  <c r="B43" i="24"/>
  <c r="B44" i="24" l="1"/>
  <c r="A44" i="24" s="1"/>
  <c r="A43" i="24"/>
</calcChain>
</file>

<file path=xl/sharedStrings.xml><?xml version="1.0" encoding="utf-8"?>
<sst xmlns="http://schemas.openxmlformats.org/spreadsheetml/2006/main" count="1769" uniqueCount="437">
  <si>
    <t>Пластины</t>
  </si>
  <si>
    <t>Бумага</t>
  </si>
  <si>
    <t>Возвратные отходы</t>
  </si>
  <si>
    <t>Краска и лак</t>
  </si>
  <si>
    <t>Офсетная резина</t>
  </si>
  <si>
    <t>Проволока для скрепления</t>
  </si>
  <si>
    <t>Скотч и бумага для упаковки тиража</t>
  </si>
  <si>
    <t>Производственные услуги сторонних организаций</t>
  </si>
  <si>
    <t>Амортизация оборудования</t>
  </si>
  <si>
    <t>Заработная плата</t>
  </si>
  <si>
    <t>Отчисления с заработной платы</t>
  </si>
  <si>
    <t>Вспомогательные материалы</t>
  </si>
  <si>
    <t>Запчасти для ремонта оборудования</t>
  </si>
  <si>
    <t>Услуги сторонних организаций по ремонту и обслуживагию оборудования</t>
  </si>
  <si>
    <t>Административные затраты</t>
  </si>
  <si>
    <t>Амортизация имущества (за искл. оборудования)</t>
  </si>
  <si>
    <t>Аренда помещений</t>
  </si>
  <si>
    <t>Электроэнергия</t>
  </si>
  <si>
    <t>Мобильная связь</t>
  </si>
  <si>
    <t>Совинтел</t>
  </si>
  <si>
    <t>Транспортные расходы (затраты на обслуживание, наем тр-та)</t>
  </si>
  <si>
    <t>Услуги по транспортировке отходов производства</t>
  </si>
  <si>
    <t>Налоги</t>
  </si>
  <si>
    <t>Канцтовары</t>
  </si>
  <si>
    <t>Прочие накладные административные затраты</t>
  </si>
  <si>
    <t>Реклама</t>
  </si>
  <si>
    <t>Командировки</t>
  </si>
  <si>
    <t>Участие в выставках, конкурсах</t>
  </si>
  <si>
    <t>Поддержка сайта, услуги интернет</t>
  </si>
  <si>
    <t>Коммерческие расходы</t>
  </si>
  <si>
    <t>Факт</t>
  </si>
  <si>
    <t>Резерв на брак и перенастройки по пластинам / брак при учете</t>
  </si>
  <si>
    <t>Цех допечатной подготовки</t>
  </si>
  <si>
    <t>количество пластин</t>
  </si>
  <si>
    <t>Печатная машина КВА 72</t>
  </si>
  <si>
    <t>Печатная машина КВА 105</t>
  </si>
  <si>
    <t>Печатная машина Роланд 705 1</t>
  </si>
  <si>
    <t>нормативные часы обработки заказа</t>
  </si>
  <si>
    <t>Резка бумаги</t>
  </si>
  <si>
    <t>количество листопрогонов</t>
  </si>
  <si>
    <t>Биговка и высечка</t>
  </si>
  <si>
    <t>Печатная машина Роланд 705 2</t>
  </si>
  <si>
    <t>Печатная машина Роланд 204</t>
  </si>
  <si>
    <t>Фальцовка</t>
  </si>
  <si>
    <t>Перфорация и вырубка</t>
  </si>
  <si>
    <t>ВШРА</t>
  </si>
  <si>
    <t>Услуги по рем. и обслуж. Об-я</t>
  </si>
  <si>
    <t>Химикаты</t>
  </si>
  <si>
    <t>нормы</t>
  </si>
  <si>
    <t>К_распр-я</t>
  </si>
  <si>
    <t>ЦФУ</t>
  </si>
  <si>
    <t>№</t>
  </si>
  <si>
    <t>Статьи затрат на заказы, рассчитываемых на единицу параметра</t>
  </si>
  <si>
    <t>Растр</t>
  </si>
  <si>
    <t>Плашка</t>
  </si>
  <si>
    <t>Триадная краска</t>
  </si>
  <si>
    <t>Понтоны обычные</t>
  </si>
  <si>
    <t>Понтоны металлизированные</t>
  </si>
  <si>
    <t>Количество листов</t>
  </si>
  <si>
    <t>Цена за кг</t>
  </si>
  <si>
    <t>Бумага мелованная глянцевая</t>
  </si>
  <si>
    <t>х</t>
  </si>
  <si>
    <t>Бумага офсетная</t>
  </si>
  <si>
    <t>Отклонение</t>
  </si>
  <si>
    <t>Статьи затрат</t>
  </si>
  <si>
    <t>Прогноз</t>
  </si>
  <si>
    <t>Прогноз по нормам на факт</t>
  </si>
  <si>
    <t>в т.ч. отклонение цен</t>
  </si>
  <si>
    <t>отклонение потребления</t>
  </si>
  <si>
    <t>Офсетная резина для краски</t>
  </si>
  <si>
    <t>Офсетное полотно для лака</t>
  </si>
  <si>
    <t>Цена за кв.м.</t>
  </si>
  <si>
    <t>Код</t>
  </si>
  <si>
    <t>Цена</t>
  </si>
  <si>
    <t>Наименование элемента справочника</t>
  </si>
  <si>
    <t>Бумага мелованная</t>
  </si>
  <si>
    <t>1.1</t>
  </si>
  <si>
    <t>Бумага мелованная глянцевая / плотность 120</t>
  </si>
  <si>
    <t>Бумага мелованная глянцевая / плотность 150</t>
  </si>
  <si>
    <t xml:space="preserve"> -</t>
  </si>
  <si>
    <t>Строчка для вставки</t>
  </si>
  <si>
    <t>1.2</t>
  </si>
  <si>
    <t>Бумага мелованная матовая</t>
  </si>
  <si>
    <t>Бумага мелованная матовая / плотность 150</t>
  </si>
  <si>
    <t>2.1</t>
  </si>
  <si>
    <t>Бумага офсетная / плотность 120</t>
  </si>
  <si>
    <t>Бумага офсетная / плотность 150</t>
  </si>
  <si>
    <t>2.2</t>
  </si>
  <si>
    <t>Плотность</t>
  </si>
  <si>
    <t>Коммерческий отдел</t>
  </si>
  <si>
    <t>Администрация</t>
  </si>
  <si>
    <t>+</t>
  </si>
  <si>
    <t>Всего</t>
  </si>
  <si>
    <t>Не распределяемые по ЦФУ</t>
  </si>
  <si>
    <t>Производственная себестоимость заказа</t>
  </si>
  <si>
    <t>Наименование печатной машины</t>
  </si>
  <si>
    <t>Прямые производственные</t>
  </si>
  <si>
    <t>Общепроизводственные</t>
  </si>
  <si>
    <t>Справочник пластин</t>
  </si>
  <si>
    <t>Термальные пластины</t>
  </si>
  <si>
    <t>Обычные пластины</t>
  </si>
  <si>
    <t>Справочник видов бумаги</t>
  </si>
  <si>
    <t>Справочник производственных услуг сторонних организаций</t>
  </si>
  <si>
    <t>Изготовление фотоформ</t>
  </si>
  <si>
    <t>Дизайнерские услуги, предпечатная подготовка тиража</t>
  </si>
  <si>
    <t>Ламинация тиража</t>
  </si>
  <si>
    <t>Изготовление вырубных штампов</t>
  </si>
  <si>
    <t>УФ-лакировка тиража</t>
  </si>
  <si>
    <t>Склейка коробок</t>
  </si>
  <si>
    <t>Бесшвейное скрепление</t>
  </si>
  <si>
    <t>Тиснение тиража</t>
  </si>
  <si>
    <t>Термосклейка</t>
  </si>
  <si>
    <t>Переплетные работы</t>
  </si>
  <si>
    <t>Брошюровка учебников</t>
  </si>
  <si>
    <t>Справочник видов возвратных отходов</t>
  </si>
  <si>
    <t>Возвратные отходы по бумаге</t>
  </si>
  <si>
    <t>Возвратные отходы по пленкам</t>
  </si>
  <si>
    <t>Проявитель обычный</t>
  </si>
  <si>
    <t>Проявитель СТР</t>
  </si>
  <si>
    <t>Подкрепитель обычный</t>
  </si>
  <si>
    <t>Подкрепитель СТР</t>
  </si>
  <si>
    <t>Справочник видов краски и лака</t>
  </si>
  <si>
    <t>1</t>
  </si>
  <si>
    <t>Краска</t>
  </si>
  <si>
    <t>1.3</t>
  </si>
  <si>
    <t>2</t>
  </si>
  <si>
    <t>Лак</t>
  </si>
  <si>
    <t>Лак вододисперсионный</t>
  </si>
  <si>
    <t>Лак вододисперсионный матовый</t>
  </si>
  <si>
    <t>Лак вододисперсионный глянцевый</t>
  </si>
  <si>
    <t>Лак вододисперсионный универсальный</t>
  </si>
  <si>
    <t>Лак вододисперсионный праймер</t>
  </si>
  <si>
    <t>Лак офсетный</t>
  </si>
  <si>
    <t>Лак офсетный матовый</t>
  </si>
  <si>
    <t>Лак офсетный глянцевый</t>
  </si>
  <si>
    <t>Лак офсетный универсальный</t>
  </si>
  <si>
    <t>Изопропиловый спирт</t>
  </si>
  <si>
    <t>Аквастабил</t>
  </si>
  <si>
    <t>Смывка ручная</t>
  </si>
  <si>
    <t>Смывка автоматическая</t>
  </si>
  <si>
    <t>Сиккатив для увлажняющего раствора</t>
  </si>
  <si>
    <t>Антисиккатив</t>
  </si>
  <si>
    <t>Антисиккатив-спрей</t>
  </si>
  <si>
    <t>Справочник видов офсетной резины</t>
  </si>
  <si>
    <t>4</t>
  </si>
  <si>
    <t>4.1</t>
  </si>
  <si>
    <t>Астролон</t>
  </si>
  <si>
    <t>4.2</t>
  </si>
  <si>
    <t>Скотч кристально-прозрачный</t>
  </si>
  <si>
    <t>4.3</t>
  </si>
  <si>
    <t>4.4</t>
  </si>
  <si>
    <t>Антиизвестковая смывка для проявочных машин</t>
  </si>
  <si>
    <t>4.5</t>
  </si>
  <si>
    <t>Корректирующие карандаши</t>
  </si>
  <si>
    <t>4.6</t>
  </si>
  <si>
    <t>Средство для очистки системы увлажнения</t>
  </si>
  <si>
    <t>Декель</t>
  </si>
  <si>
    <t>Противоотмарывающий порошок</t>
  </si>
  <si>
    <t>Керосин</t>
  </si>
  <si>
    <t>Ветошь</t>
  </si>
  <si>
    <t>Резиновые перчатки</t>
  </si>
  <si>
    <t>Спецодежда</t>
  </si>
  <si>
    <t>3</t>
  </si>
  <si>
    <t>Компания</t>
  </si>
  <si>
    <t>Справочник центров финансового учета (ЦФУ)</t>
  </si>
  <si>
    <t>Справочник видов затрат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</si>
  <si>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</si>
  <si>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</si>
  <si>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</si>
  <si>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</si>
  <si>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</si>
  <si>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</si>
  <si>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</si>
  <si>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</si>
  <si>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</si>
  <si>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2.3</t>
  </si>
  <si>
    <t>2.4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</si>
  <si>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</si>
  <si>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</si>
  <si>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</si>
  <si>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</si>
  <si>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</si>
  <si>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</si>
  <si>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</si>
  <si>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</si>
  <si>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</si>
  <si>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</si>
  <si>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</si>
  <si>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</si>
  <si>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Ц_0</t>
  </si>
  <si>
    <t>Ц_1</t>
  </si>
  <si>
    <t>Ц_2</t>
  </si>
  <si>
    <t>Ц_3</t>
  </si>
  <si>
    <t>Ц_4</t>
  </si>
  <si>
    <t>Ц_5</t>
  </si>
  <si>
    <t>Ц_6</t>
  </si>
  <si>
    <t>Ц_7</t>
  </si>
  <si>
    <t>Ц_8</t>
  </si>
  <si>
    <t>Ц_9</t>
  </si>
  <si>
    <t>Ц_10</t>
  </si>
  <si>
    <t>Ц_11</t>
  </si>
  <si>
    <t>Ц_12</t>
  </si>
  <si>
    <t>Ц_13</t>
  </si>
  <si>
    <t>Ц_14</t>
  </si>
  <si>
    <t>П_0</t>
  </si>
  <si>
    <t>П_1</t>
  </si>
  <si>
    <t>П_2</t>
  </si>
  <si>
    <t>Б_0</t>
  </si>
  <si>
    <t>Б_1</t>
  </si>
  <si>
    <t>Б_1.1</t>
  </si>
  <si>
    <t>Б_1.2</t>
  </si>
  <si>
    <t>Б_1.1.1</t>
  </si>
  <si>
    <t>Б_1.1.2</t>
  </si>
  <si>
    <t>Б_1.2.1</t>
  </si>
  <si>
    <t>Б_1.2.2</t>
  </si>
  <si>
    <t>Б_3</t>
  </si>
  <si>
    <t>Б_3.1</t>
  </si>
  <si>
    <t>Б_3.2</t>
  </si>
  <si>
    <t>У_0</t>
  </si>
  <si>
    <t>У_1</t>
  </si>
  <si>
    <t>У_2</t>
  </si>
  <si>
    <t>У_3</t>
  </si>
  <si>
    <t>У_4</t>
  </si>
  <si>
    <t>У_5</t>
  </si>
  <si>
    <t>У_6</t>
  </si>
  <si>
    <t>У_7</t>
  </si>
  <si>
    <t>У_8</t>
  </si>
  <si>
    <t>У_9</t>
  </si>
  <si>
    <t>У_10</t>
  </si>
  <si>
    <t>У_11</t>
  </si>
  <si>
    <t>Справочник видов химикатов</t>
  </si>
  <si>
    <t>Х_0</t>
  </si>
  <si>
    <t>Х_1</t>
  </si>
  <si>
    <t>Х_2</t>
  </si>
  <si>
    <t>Х_3</t>
  </si>
  <si>
    <t>Х_4</t>
  </si>
  <si>
    <t>Х_5</t>
  </si>
  <si>
    <t>Х_6</t>
  </si>
  <si>
    <t>Х_7</t>
  </si>
  <si>
    <t>Х_8</t>
  </si>
  <si>
    <t>Х_9</t>
  </si>
  <si>
    <t>Х_10</t>
  </si>
  <si>
    <t>Х_11</t>
  </si>
  <si>
    <t>К_0</t>
  </si>
  <si>
    <t>К_1</t>
  </si>
  <si>
    <t>К_2</t>
  </si>
  <si>
    <t>К_1.1</t>
  </si>
  <si>
    <t>К_1.2</t>
  </si>
  <si>
    <t>К_1.3</t>
  </si>
  <si>
    <t>К_2.1</t>
  </si>
  <si>
    <t>К_2.1.1</t>
  </si>
  <si>
    <t>К_2.1.2</t>
  </si>
  <si>
    <t>К_2.1.3</t>
  </si>
  <si>
    <t>К_2.1.4</t>
  </si>
  <si>
    <t>К_2.2</t>
  </si>
  <si>
    <t>К_2.2.1</t>
  </si>
  <si>
    <t>К_2.2.2</t>
  </si>
  <si>
    <t>К_2.2.3</t>
  </si>
  <si>
    <t>Р_0</t>
  </si>
  <si>
    <t>Р_1</t>
  </si>
  <si>
    <t>Р_2</t>
  </si>
  <si>
    <t>Справочник видов вспомогательных материалов</t>
  </si>
  <si>
    <t>М_1</t>
  </si>
  <si>
    <t>М_2</t>
  </si>
  <si>
    <t>М_3</t>
  </si>
  <si>
    <t>М_4</t>
  </si>
  <si>
    <t>М_5</t>
  </si>
  <si>
    <t>М_6</t>
  </si>
  <si>
    <t>М_7</t>
  </si>
  <si>
    <t>М_8</t>
  </si>
  <si>
    <t>М_9</t>
  </si>
  <si>
    <t>М_10</t>
  </si>
  <si>
    <t>М_11</t>
  </si>
  <si>
    <t>М_12</t>
  </si>
  <si>
    <t>М_13</t>
  </si>
  <si>
    <t>Цены пластин</t>
  </si>
  <si>
    <t>Цены бумаги</t>
  </si>
  <si>
    <t>Ед.изм.</t>
  </si>
  <si>
    <t>Цены реализации возвратных отходов</t>
  </si>
  <si>
    <t>ВО_0</t>
  </si>
  <si>
    <t>ВО_1</t>
  </si>
  <si>
    <t>ВО_2</t>
  </si>
  <si>
    <t>ВО_3</t>
  </si>
  <si>
    <t>Цены химикатов</t>
  </si>
  <si>
    <t>Цены краски и лака</t>
  </si>
  <si>
    <t>Цены офсетной резины</t>
  </si>
  <si>
    <t>Цены вспомогательных материалов</t>
  </si>
  <si>
    <t>кв.м.</t>
  </si>
  <si>
    <t>кг</t>
  </si>
  <si>
    <t>литр</t>
  </si>
  <si>
    <t>шт</t>
  </si>
  <si>
    <t>шт.</t>
  </si>
  <si>
    <t>Бумага для принтера</t>
  </si>
  <si>
    <t>Картриджи для принтера</t>
  </si>
  <si>
    <t>рулон</t>
  </si>
  <si>
    <t>Норматив</t>
  </si>
  <si>
    <t>Наименование параметра заказа</t>
  </si>
  <si>
    <t>Количество пластин</t>
  </si>
  <si>
    <t>Возвратные отходы по пластинам</t>
  </si>
  <si>
    <t>Значение</t>
  </si>
  <si>
    <t>Общее количество бумаги</t>
  </si>
  <si>
    <t>% сырья идущий в отходы</t>
  </si>
  <si>
    <t>% сырья идущий в брак</t>
  </si>
  <si>
    <t>Заработная плата на 1 нормочас</t>
  </si>
  <si>
    <t>Нормируемые статьи прямых производственных затрат по ЦФУ</t>
  </si>
  <si>
    <t>Справочник типов печати</t>
  </si>
  <si>
    <t>ТП_1</t>
  </si>
  <si>
    <t>ТП_2</t>
  </si>
  <si>
    <t>Цены проволоки для скрепления</t>
  </si>
  <si>
    <t>м</t>
  </si>
  <si>
    <t>ЦФУ / Статьи</t>
  </si>
  <si>
    <t>Сумма</t>
  </si>
  <si>
    <t>Накладные затраты</t>
  </si>
  <si>
    <t>Прогнозируемые показатели на месяц</t>
  </si>
  <si>
    <t>1. Номер заказа</t>
  </si>
  <si>
    <t>Количество, шт</t>
  </si>
  <si>
    <t>Нормативное время</t>
  </si>
  <si>
    <t>Количество краскопрогонов, шт</t>
  </si>
  <si>
    <t>5. Краскопрогоны</t>
  </si>
  <si>
    <t>Нормативное время, н/ч</t>
  </si>
  <si>
    <t>Количество, кг</t>
  </si>
  <si>
    <t>3. Бумага</t>
  </si>
  <si>
    <t>4. Печатная машина</t>
  </si>
  <si>
    <t>6. Нормативное время выполнения заказа по ЦФУ</t>
  </si>
  <si>
    <t>7. Производственные услуги сторонних организаций</t>
  </si>
  <si>
    <t>Сумма, евро</t>
  </si>
  <si>
    <t>8. Количество скрепок</t>
  </si>
  <si>
    <t>Код ЦФУ</t>
  </si>
  <si>
    <t>Код статьи</t>
  </si>
  <si>
    <t>База нормирования</t>
  </si>
  <si>
    <t>Наименование норматива</t>
  </si>
  <si>
    <t>Повышающий коэффициент расходных норм для "плашки"</t>
  </si>
  <si>
    <t>Расходные нормы по растру</t>
  </si>
  <si>
    <t>2. Пластины/пленки</t>
  </si>
  <si>
    <t>Пленки</t>
  </si>
  <si>
    <t>П_9</t>
  </si>
  <si>
    <t>Количество пленок</t>
  </si>
  <si>
    <t>Отчисления в процентах от зарплаты</t>
  </si>
  <si>
    <t>Количество краскопрогонов</t>
  </si>
  <si>
    <t>расход на 1 краскопрогон (растр)</t>
  </si>
  <si>
    <t>расход на 1 краскопрогон</t>
  </si>
  <si>
    <t>Краскопрогоны по растру</t>
  </si>
  <si>
    <t>Краскопрогоны по плашке</t>
  </si>
  <si>
    <t>Наименование статьи</t>
  </si>
  <si>
    <t>Плановая себестоимость заказа</t>
  </si>
  <si>
    <t>Стоимость реализации</t>
  </si>
  <si>
    <t>Прибыль</t>
  </si>
  <si>
    <t>Рентабельность</t>
  </si>
  <si>
    <t>Заказ №</t>
  </si>
  <si>
    <t>Виды пластин</t>
  </si>
  <si>
    <t>Количество, кв.м.</t>
  </si>
  <si>
    <t>Формат, м</t>
  </si>
  <si>
    <t>Виды бумаги</t>
  </si>
  <si>
    <t>Бумага мелованная матовая / плотность 080</t>
  </si>
  <si>
    <t>Виды краски и лака</t>
  </si>
  <si>
    <t>Норматив расхода на краскопрогон, кг</t>
  </si>
  <si>
    <t>Общий код</t>
  </si>
  <si>
    <t>Код краски</t>
  </si>
  <si>
    <t>Общее количество краскопрогонов</t>
  </si>
  <si>
    <t>Виды офсетной резины</t>
  </si>
  <si>
    <t>% на брак и перенастройки</t>
  </si>
  <si>
    <t>Сумма затрат на пластины</t>
  </si>
  <si>
    <t>Сумма резерва по пластинам</t>
  </si>
  <si>
    <t>Виды возвратных отходов</t>
  </si>
  <si>
    <t>Количество исходного сырья</t>
  </si>
  <si>
    <t>Цена реализации отходов</t>
  </si>
  <si>
    <t>Код исходного сырья</t>
  </si>
  <si>
    <t>Количество скрепок</t>
  </si>
  <si>
    <t>Виды химикатов</t>
  </si>
  <si>
    <t>Химикаты, нормируемые по количеству пластин</t>
  </si>
  <si>
    <t>Химикаты нормируемые по краскопрогонам</t>
  </si>
  <si>
    <t>Х_12</t>
  </si>
  <si>
    <t>расход на 1 кв.м. пластин</t>
  </si>
  <si>
    <t>Норматив расхода на 1 кв.м. пластин</t>
  </si>
  <si>
    <t>Статья</t>
  </si>
  <si>
    <t>Норматив на 1 скрепку</t>
  </si>
  <si>
    <t>Цена проволоки</t>
  </si>
  <si>
    <t>расход проволоки на 1 скрепку</t>
  </si>
  <si>
    <t>затраты в денежном выражении на 1 кг бумаги</t>
  </si>
  <si>
    <t>Норматив на 1 кг бумаги</t>
  </si>
  <si>
    <t>Количество нормочасов</t>
  </si>
  <si>
    <t>Норматив з/п на 1 нормочас</t>
  </si>
  <si>
    <t>-</t>
  </si>
  <si>
    <t>Сумма зарплаты</t>
  </si>
  <si>
    <t>Норматив отчислений с зарплаты</t>
  </si>
  <si>
    <t>Сумма отчислений с зарплаты</t>
  </si>
  <si>
    <t>Наименование базы распределения</t>
  </si>
  <si>
    <t>Итого накладные затраты</t>
  </si>
  <si>
    <t>Значение базы распределения</t>
  </si>
  <si>
    <t>ПП_1</t>
  </si>
  <si>
    <t>ПП_2</t>
  </si>
  <si>
    <t>ПП_3</t>
  </si>
  <si>
    <t>ПП_4</t>
  </si>
  <si>
    <t>Нормативное время выполения заказов</t>
  </si>
  <si>
    <t>Производственная себестоимость заказов</t>
  </si>
  <si>
    <t>Ц_1ПП_1</t>
  </si>
  <si>
    <t>Ц_1ПП_2</t>
  </si>
  <si>
    <t>Ц_2ПП_2</t>
  </si>
  <si>
    <t>Ц_2ПП_3</t>
  </si>
  <si>
    <t>Ц_4ПП_2</t>
  </si>
  <si>
    <t>Ц_5ПП_2</t>
  </si>
  <si>
    <t>Ц_6ПП_2</t>
  </si>
  <si>
    <t>Ц_7ПП_2</t>
  </si>
  <si>
    <t>Ц_8ПП_2</t>
  </si>
  <si>
    <t>Ц_9ПП_2</t>
  </si>
  <si>
    <t>Ц_10ПП_2</t>
  </si>
  <si>
    <t>Ц_11ПП_2</t>
  </si>
  <si>
    <t>Ц_3ПП_2</t>
  </si>
  <si>
    <t>Ц_3ПП_3</t>
  </si>
  <si>
    <t>Ц_4ПП_3</t>
  </si>
  <si>
    <t>Ц_5ПП_3</t>
  </si>
  <si>
    <t>Ц_6ПП_3</t>
  </si>
  <si>
    <t>Код базы</t>
  </si>
  <si>
    <t>Наименование статьи затрат</t>
  </si>
  <si>
    <t>Значение базы для заказа</t>
  </si>
  <si>
    <t>Сумма по статье</t>
  </si>
  <si>
    <t>Коэффициент затрат на единицу базы</t>
  </si>
  <si>
    <t>Коэффициент</t>
  </si>
  <si>
    <t>Услуги стор орг-ий по рем и обслуж оборуд-я</t>
  </si>
  <si>
    <t>Действия, которые необходимо выполнить для составления калькуляций по заказам</t>
  </si>
  <si>
    <t>1. Планирование (корректировка) нормативов на предстоящий месяц.</t>
  </si>
  <si>
    <t>Прогноз составляется 1 раз на планируемый месяц.</t>
  </si>
  <si>
    <t>2. Планирование (корректировка) учетных цен на предстоящий месяц.</t>
  </si>
  <si>
    <t>3. Формирование прогноза уровня деятельности.</t>
  </si>
  <si>
    <t>4. Формирование прогноза уровня затрат непосредственно не связанных с объемом заказов и расчет коэффициентов распределения на заказы.</t>
  </si>
  <si>
    <t>5. Планирование параметров заказа по которому необходимо составить калькуляцию.</t>
  </si>
  <si>
    <t>Планируется для каждого заказа.</t>
  </si>
  <si>
    <t>6. Автоматический расчет затрат по заказу.</t>
  </si>
  <si>
    <t>В остальных листах представлен механизм расчета затрат по заказу.</t>
  </si>
  <si>
    <t>Вернуться в параметры заказа</t>
  </si>
  <si>
    <t>Вернуться в калькуляцию</t>
  </si>
  <si>
    <t>Ножевая резка бумаги</t>
  </si>
  <si>
    <t>Биговка, перфорация и вырубка</t>
  </si>
  <si>
    <t>Высечка</t>
  </si>
  <si>
    <t>Выборочный лак</t>
  </si>
  <si>
    <t>Площадь запечатки</t>
  </si>
  <si>
    <t>плашка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</si>
</sst>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 Cyr"/>
      <family val="1"/>
      <charset val="204"/>
    </font>
    <font>
      <sz val="10"/>
      <name val="Arial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u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sz val="10"/>
      <color indexed="12"/>
      <name val="Times New Roman Cyr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u/>
      <sz val="10"/>
      <color indexed="12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u/>
      <sz val="12"/>
      <color indexed="12"/>
      <name val="Georgia"/>
      <family val="1"/>
    </font>
    <font>
      <i/>
      <sz val="10"/>
      <name val="Arial Cyr"/>
      <family val="2"/>
      <charset val="204"/>
    </font>
    <font>
      <b/>
      <sz val="12"/>
      <name val="Georgia"/>
      <family val="1"/>
    </font>
    <font>
      <u/>
      <sz val="12"/>
      <color indexed="12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2" quotePrefix="1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7" fillId="0" borderId="0" xfId="2" applyFont="1" applyFill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0" xfId="2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 indent="2"/>
    </xf>
    <xf numFmtId="0" fontId="10" fillId="0" borderId="0" xfId="2" applyFont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left" vertical="center"/>
    </xf>
    <xf numFmtId="0" fontId="3" fillId="0" borderId="0" xfId="2"/>
    <xf numFmtId="0" fontId="5" fillId="0" borderId="0" xfId="2" applyFont="1" applyFill="1" applyAlignment="1">
      <alignment horizontal="left" indent="2"/>
    </xf>
    <xf numFmtId="0" fontId="5" fillId="0" borderId="0" xfId="2" applyFont="1" applyFill="1" applyAlignment="1">
      <alignment horizontal="left" indent="1"/>
    </xf>
    <xf numFmtId="0" fontId="5" fillId="0" borderId="0" xfId="2" applyFont="1" applyFill="1"/>
    <xf numFmtId="0" fontId="7" fillId="0" borderId="1" xfId="0" applyFont="1" applyBorder="1"/>
    <xf numFmtId="0" fontId="13" fillId="0" borderId="1" xfId="0" applyFont="1" applyBorder="1" applyAlignment="1">
      <alignment wrapText="1"/>
    </xf>
    <xf numFmtId="0" fontId="6" fillId="0" borderId="4" xfId="2" applyFont="1" applyFill="1" applyBorder="1" applyAlignment="1">
      <alignment wrapText="1"/>
    </xf>
    <xf numFmtId="0" fontId="6" fillId="0" borderId="2" xfId="2" applyFont="1" applyFill="1" applyBorder="1" applyAlignment="1">
      <alignment wrapText="1"/>
    </xf>
    <xf numFmtId="0" fontId="6" fillId="0" borderId="3" xfId="2" applyFont="1" applyFill="1" applyBorder="1" applyAlignment="1">
      <alignment wrapText="1"/>
    </xf>
    <xf numFmtId="0" fontId="7" fillId="0" borderId="5" xfId="2" applyFont="1" applyFill="1" applyBorder="1" applyAlignment="1">
      <alignment wrapText="1"/>
    </xf>
    <xf numFmtId="0" fontId="7" fillId="0" borderId="6" xfId="0" applyFont="1" applyBorder="1"/>
    <xf numFmtId="0" fontId="7" fillId="0" borderId="2" xfId="2" applyFont="1" applyFill="1" applyBorder="1" applyAlignment="1">
      <alignment wrapText="1"/>
    </xf>
    <xf numFmtId="0" fontId="7" fillId="0" borderId="3" xfId="2" applyFont="1" applyFill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0" xfId="2" applyBorder="1"/>
    <xf numFmtId="0" fontId="2" fillId="0" borderId="0" xfId="2" quotePrefix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12" fillId="0" borderId="9" xfId="2" applyFont="1" applyBorder="1"/>
    <xf numFmtId="0" fontId="3" fillId="0" borderId="9" xfId="2" applyBorder="1"/>
    <xf numFmtId="0" fontId="5" fillId="0" borderId="0" xfId="2" applyFont="1" applyBorder="1" applyAlignment="1">
      <alignment horizontal="center"/>
    </xf>
    <xf numFmtId="0" fontId="12" fillId="0" borderId="0" xfId="2" applyFont="1" applyBorder="1"/>
    <xf numFmtId="0" fontId="3" fillId="0" borderId="0" xfId="2" applyFill="1"/>
    <xf numFmtId="0" fontId="5" fillId="0" borderId="0" xfId="2" applyFont="1" applyAlignment="1">
      <alignment horizontal="center"/>
    </xf>
    <xf numFmtId="0" fontId="2" fillId="0" borderId="0" xfId="2" applyFont="1"/>
    <xf numFmtId="0" fontId="3" fillId="0" borderId="0" xfId="2" applyAlignment="1">
      <alignment horizontal="center"/>
    </xf>
    <xf numFmtId="0" fontId="4" fillId="0" borderId="0" xfId="2" applyFont="1" applyFill="1"/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left" vertical="center"/>
    </xf>
    <xf numFmtId="0" fontId="3" fillId="2" borderId="0" xfId="2" applyFont="1" applyFill="1" applyBorder="1"/>
    <xf numFmtId="0" fontId="3" fillId="2" borderId="0" xfId="2" applyFont="1" applyFill="1"/>
    <xf numFmtId="0" fontId="2" fillId="2" borderId="0" xfId="2" quotePrefix="1" applyFont="1" applyFill="1" applyAlignment="1">
      <alignment horizontal="center"/>
    </xf>
    <xf numFmtId="0" fontId="2" fillId="2" borderId="0" xfId="2" applyFont="1" applyFill="1"/>
    <xf numFmtId="0" fontId="3" fillId="2" borderId="0" xfId="2" applyFill="1"/>
    <xf numFmtId="0" fontId="3" fillId="2" borderId="0" xfId="2" applyFill="1" applyBorder="1"/>
    <xf numFmtId="0" fontId="5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0" borderId="0" xfId="2" quotePrefix="1" applyFont="1" applyFill="1" applyAlignment="1">
      <alignment horizontal="center"/>
    </xf>
    <xf numFmtId="0" fontId="5" fillId="0" borderId="0" xfId="2" applyFont="1" applyFill="1" applyAlignment="1">
      <alignment wrapText="1"/>
    </xf>
    <xf numFmtId="0" fontId="5" fillId="2" borderId="0" xfId="2" applyFont="1" applyFill="1"/>
    <xf numFmtId="0" fontId="5" fillId="2" borderId="0" xfId="2" quotePrefix="1" applyFont="1" applyFill="1" applyAlignment="1">
      <alignment horizontal="center"/>
    </xf>
    <xf numFmtId="0" fontId="5" fillId="2" borderId="0" xfId="2" applyFont="1" applyFill="1" applyAlignment="1">
      <alignment wrapText="1"/>
    </xf>
    <xf numFmtId="0" fontId="4" fillId="0" borderId="0" xfId="2" applyFont="1" applyFill="1" applyAlignment="1">
      <alignment wrapText="1"/>
    </xf>
    <xf numFmtId="0" fontId="8" fillId="2" borderId="0" xfId="2" applyFont="1" applyFill="1" applyAlignment="1">
      <alignment horizontal="center"/>
    </xf>
    <xf numFmtId="0" fontId="4" fillId="2" borderId="0" xfId="2" applyFont="1" applyFill="1"/>
    <xf numFmtId="0" fontId="3" fillId="0" borderId="9" xfId="2" applyBorder="1" applyAlignment="1">
      <alignment horizontal="center"/>
    </xf>
    <xf numFmtId="0" fontId="4" fillId="0" borderId="9" xfId="2" applyFont="1" applyFill="1" applyBorder="1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Fill="1" applyAlignment="1">
      <alignment wrapText="1"/>
    </xf>
    <xf numFmtId="0" fontId="5" fillId="0" borderId="0" xfId="2" applyFont="1" applyFill="1" applyAlignment="1">
      <alignment horizontal="center"/>
    </xf>
    <xf numFmtId="9" fontId="5" fillId="3" borderId="0" xfId="3" applyFont="1" applyFill="1"/>
    <xf numFmtId="0" fontId="4" fillId="2" borderId="2" xfId="2" applyFont="1" applyFill="1" applyBorder="1"/>
    <xf numFmtId="0" fontId="3" fillId="0" borderId="0" xfId="2" applyAlignment="1"/>
    <xf numFmtId="0" fontId="5" fillId="2" borderId="10" xfId="2" applyFont="1" applyFill="1" applyBorder="1" applyAlignment="1">
      <alignment horizontal="center"/>
    </xf>
    <xf numFmtId="0" fontId="5" fillId="2" borderId="11" xfId="0" applyFont="1" applyFill="1" applyBorder="1" applyAlignment="1">
      <alignment wrapText="1"/>
    </xf>
    <xf numFmtId="0" fontId="5" fillId="2" borderId="12" xfId="0" applyFont="1" applyFill="1" applyBorder="1" applyAlignment="1">
      <alignment horizontal="center" wrapText="1"/>
    </xf>
    <xf numFmtId="0" fontId="5" fillId="2" borderId="4" xfId="2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5" fillId="3" borderId="4" xfId="2" quotePrefix="1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3" borderId="4" xfId="2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/>
    </xf>
    <xf numFmtId="0" fontId="2" fillId="0" borderId="5" xfId="2" quotePrefix="1" applyFont="1" applyFill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5" fillId="3" borderId="0" xfId="2" applyFont="1" applyFill="1"/>
    <xf numFmtId="0" fontId="5" fillId="3" borderId="0" xfId="2" applyFont="1" applyFill="1" applyAlignment="1">
      <alignment wrapText="1"/>
    </xf>
    <xf numFmtId="0" fontId="3" fillId="2" borderId="12" xfId="2" applyFill="1" applyBorder="1"/>
    <xf numFmtId="0" fontId="5" fillId="0" borderId="4" xfId="2" quotePrefix="1" applyFont="1" applyFill="1" applyBorder="1" applyAlignment="1">
      <alignment horizontal="center"/>
    </xf>
    <xf numFmtId="0" fontId="5" fillId="0" borderId="2" xfId="0" applyFont="1" applyBorder="1" applyAlignment="1">
      <alignment horizontal="left" wrapText="1" indent="1"/>
    </xf>
    <xf numFmtId="0" fontId="3" fillId="2" borderId="3" xfId="2" applyFill="1" applyBorder="1"/>
    <xf numFmtId="0" fontId="2" fillId="0" borderId="4" xfId="2" applyFont="1" applyFill="1" applyBorder="1" applyAlignment="1">
      <alignment horizontal="center"/>
    </xf>
    <xf numFmtId="0" fontId="5" fillId="0" borderId="2" xfId="2" applyFont="1" applyFill="1" applyBorder="1"/>
    <xf numFmtId="0" fontId="5" fillId="2" borderId="7" xfId="0" applyFont="1" applyFill="1" applyBorder="1" applyAlignment="1">
      <alignment wrapText="1"/>
    </xf>
    <xf numFmtId="0" fontId="3" fillId="3" borderId="3" xfId="2" applyFill="1" applyBorder="1"/>
    <xf numFmtId="0" fontId="2" fillId="0" borderId="0" xfId="2" applyFont="1" applyFill="1"/>
    <xf numFmtId="0" fontId="11" fillId="2" borderId="11" xfId="2" applyFont="1" applyFill="1" applyBorder="1" applyAlignment="1">
      <alignment horizontal="left" vertical="center"/>
    </xf>
    <xf numFmtId="0" fontId="2" fillId="2" borderId="12" xfId="2" applyFont="1" applyFill="1" applyBorder="1"/>
    <xf numFmtId="0" fontId="2" fillId="0" borderId="4" xfId="2" quotePrefix="1" applyFont="1" applyFill="1" applyBorder="1" applyAlignment="1">
      <alignment horizontal="center"/>
    </xf>
    <xf numFmtId="0" fontId="4" fillId="0" borderId="2" xfId="2" applyFont="1" applyFill="1" applyBorder="1"/>
    <xf numFmtId="0" fontId="2" fillId="2" borderId="4" xfId="2" quotePrefix="1" applyFont="1" applyFill="1" applyBorder="1" applyAlignment="1">
      <alignment horizontal="center"/>
    </xf>
    <xf numFmtId="0" fontId="11" fillId="2" borderId="2" xfId="2" applyFont="1" applyFill="1" applyBorder="1" applyAlignment="1">
      <alignment horizontal="left" vertical="center"/>
    </xf>
    <xf numFmtId="0" fontId="2" fillId="2" borderId="5" xfId="2" quotePrefix="1" applyFont="1" applyFill="1" applyBorder="1" applyAlignment="1">
      <alignment horizontal="center"/>
    </xf>
    <xf numFmtId="0" fontId="11" fillId="2" borderId="7" xfId="2" applyFont="1" applyFill="1" applyBorder="1" applyAlignment="1">
      <alignment horizontal="left" vertical="center"/>
    </xf>
    <xf numFmtId="0" fontId="4" fillId="2" borderId="10" xfId="2" applyFont="1" applyFill="1" applyBorder="1" applyAlignment="1">
      <alignment horizontal="right"/>
    </xf>
    <xf numFmtId="0" fontId="5" fillId="2" borderId="3" xfId="2" applyFont="1" applyFill="1" applyBorder="1" applyAlignment="1">
      <alignment horizontal="center"/>
    </xf>
    <xf numFmtId="0" fontId="5" fillId="0" borderId="0" xfId="2" applyFont="1"/>
    <xf numFmtId="0" fontId="5" fillId="3" borderId="3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/>
    <xf numFmtId="0" fontId="4" fillId="2" borderId="3" xfId="2" applyFont="1" applyFill="1" applyBorder="1"/>
    <xf numFmtId="0" fontId="5" fillId="0" borderId="3" xfId="2" applyFont="1" applyFill="1" applyBorder="1"/>
    <xf numFmtId="0" fontId="5" fillId="0" borderId="7" xfId="2" applyFont="1" applyFill="1" applyBorder="1"/>
    <xf numFmtId="0" fontId="5" fillId="0" borderId="8" xfId="2" applyFont="1" applyFill="1" applyBorder="1"/>
    <xf numFmtId="0" fontId="5" fillId="3" borderId="5" xfId="2" applyFont="1" applyFill="1" applyBorder="1" applyAlignment="1">
      <alignment horizontal="center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5" fillId="0" borderId="2" xfId="2" applyFont="1" applyBorder="1"/>
    <xf numFmtId="0" fontId="5" fillId="3" borderId="2" xfId="2" applyFont="1" applyFill="1" applyBorder="1"/>
    <xf numFmtId="0" fontId="5" fillId="3" borderId="7" xfId="2" applyFont="1" applyFill="1" applyBorder="1"/>
    <xf numFmtId="0" fontId="5" fillId="0" borderId="7" xfId="2" applyFont="1" applyBorder="1"/>
    <xf numFmtId="0" fontId="2" fillId="2" borderId="2" xfId="2" applyFont="1" applyFill="1" applyBorder="1"/>
    <xf numFmtId="0" fontId="5" fillId="0" borderId="2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49" fontId="5" fillId="3" borderId="4" xfId="2" applyNumberFormat="1" applyFont="1" applyFill="1" applyBorder="1" applyAlignment="1">
      <alignment horizontal="center"/>
    </xf>
    <xf numFmtId="49" fontId="5" fillId="3" borderId="5" xfId="2" applyNumberFormat="1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2" fillId="2" borderId="6" xfId="2" quotePrefix="1" applyFont="1" applyFill="1" applyBorder="1" applyAlignment="1">
      <alignment horizontal="center"/>
    </xf>
    <xf numFmtId="0" fontId="5" fillId="0" borderId="2" xfId="2" applyFont="1" applyFill="1" applyBorder="1" applyAlignment="1">
      <alignment horizontal="left"/>
    </xf>
    <xf numFmtId="0" fontId="5" fillId="0" borderId="7" xfId="2" applyFont="1" applyFill="1" applyBorder="1" applyAlignment="1">
      <alignment horizontal="left"/>
    </xf>
    <xf numFmtId="0" fontId="5" fillId="2" borderId="4" xfId="0" applyFont="1" applyFill="1" applyBorder="1" applyAlignment="1">
      <alignment wrapText="1"/>
    </xf>
    <xf numFmtId="0" fontId="5" fillId="0" borderId="3" xfId="2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/>
    </xf>
    <xf numFmtId="0" fontId="16" fillId="3" borderId="3" xfId="1" applyFont="1" applyFill="1" applyBorder="1" applyAlignment="1" applyProtection="1">
      <alignment horizontal="center"/>
    </xf>
    <xf numFmtId="49" fontId="5" fillId="0" borderId="4" xfId="2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/>
    </xf>
    <xf numFmtId="9" fontId="5" fillId="0" borderId="2" xfId="3" applyFont="1" applyFill="1" applyBorder="1"/>
    <xf numFmtId="0" fontId="10" fillId="0" borderId="13" xfId="2" applyFont="1" applyFill="1" applyBorder="1" applyAlignment="1">
      <alignment horizontal="center" vertical="center" wrapText="1"/>
    </xf>
    <xf numFmtId="2" fontId="5" fillId="0" borderId="3" xfId="2" applyNumberFormat="1" applyFont="1" applyFill="1" applyBorder="1"/>
    <xf numFmtId="0" fontId="5" fillId="0" borderId="5" xfId="2" applyFont="1" applyFill="1" applyBorder="1" applyAlignment="1">
      <alignment horizontal="center"/>
    </xf>
    <xf numFmtId="9" fontId="5" fillId="0" borderId="7" xfId="3" applyFont="1" applyFill="1" applyBorder="1"/>
    <xf numFmtId="2" fontId="5" fillId="0" borderId="8" xfId="2" applyNumberFormat="1" applyFont="1" applyFill="1" applyBorder="1"/>
    <xf numFmtId="2" fontId="4" fillId="2" borderId="3" xfId="2" applyNumberFormat="1" applyFont="1" applyFill="1" applyBorder="1"/>
    <xf numFmtId="2" fontId="5" fillId="0" borderId="3" xfId="2" applyNumberFormat="1" applyFont="1" applyBorder="1" applyAlignment="1">
      <alignment horizontal="center"/>
    </xf>
    <xf numFmtId="2" fontId="15" fillId="0" borderId="3" xfId="1" applyNumberFormat="1" applyBorder="1" applyAlignment="1" applyProtection="1">
      <alignment horizontal="center"/>
    </xf>
    <xf numFmtId="2" fontId="4" fillId="0" borderId="3" xfId="2" applyNumberFormat="1" applyFont="1" applyBorder="1" applyAlignment="1">
      <alignment horizontal="center"/>
    </xf>
    <xf numFmtId="2" fontId="4" fillId="2" borderId="3" xfId="2" applyNumberFormat="1" applyFont="1" applyFill="1" applyBorder="1" applyAlignment="1">
      <alignment horizontal="center"/>
    </xf>
    <xf numFmtId="9" fontId="4" fillId="2" borderId="8" xfId="3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5" fillId="2" borderId="7" xfId="2" applyFont="1" applyFill="1" applyBorder="1"/>
    <xf numFmtId="0" fontId="7" fillId="2" borderId="8" xfId="2" applyFont="1" applyFill="1" applyBorder="1" applyAlignment="1">
      <alignment horizontal="center"/>
    </xf>
    <xf numFmtId="0" fontId="4" fillId="0" borderId="0" xfId="2" applyFont="1"/>
    <xf numFmtId="0" fontId="8" fillId="2" borderId="5" xfId="2" quotePrefix="1" applyFont="1" applyFill="1" applyBorder="1" applyAlignment="1">
      <alignment horizontal="center"/>
    </xf>
    <xf numFmtId="0" fontId="4" fillId="2" borderId="7" xfId="2" applyFont="1" applyFill="1" applyBorder="1"/>
    <xf numFmtId="0" fontId="4" fillId="2" borderId="7" xfId="2" applyFont="1" applyFill="1" applyBorder="1" applyAlignment="1">
      <alignment horizontal="center"/>
    </xf>
    <xf numFmtId="0" fontId="2" fillId="2" borderId="14" xfId="2" quotePrefix="1" applyFont="1" applyFill="1" applyBorder="1" applyAlignment="1">
      <alignment horizontal="center"/>
    </xf>
    <xf numFmtId="2" fontId="4" fillId="2" borderId="8" xfId="2" applyNumberFormat="1" applyFont="1" applyFill="1" applyBorder="1"/>
    <xf numFmtId="2" fontId="5" fillId="3" borderId="0" xfId="2" applyNumberFormat="1" applyFont="1" applyFill="1" applyAlignment="1">
      <alignment wrapText="1"/>
    </xf>
    <xf numFmtId="2" fontId="5" fillId="2" borderId="7" xfId="2" applyNumberFormat="1" applyFont="1" applyFill="1" applyBorder="1"/>
    <xf numFmtId="0" fontId="2" fillId="2" borderId="2" xfId="2" quotePrefix="1" applyFont="1" applyFill="1" applyBorder="1" applyAlignment="1">
      <alignment horizontal="center"/>
    </xf>
    <xf numFmtId="0" fontId="2" fillId="0" borderId="2" xfId="2" quotePrefix="1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7" xfId="2" quotePrefix="1" applyFont="1" applyFill="1" applyBorder="1" applyAlignment="1">
      <alignment horizontal="center"/>
    </xf>
    <xf numFmtId="2" fontId="5" fillId="0" borderId="3" xfId="2" applyNumberFormat="1" applyFont="1" applyFill="1" applyBorder="1" applyAlignment="1">
      <alignment horizontal="center"/>
    </xf>
    <xf numFmtId="2" fontId="5" fillId="0" borderId="8" xfId="2" applyNumberFormat="1" applyFont="1" applyFill="1" applyBorder="1" applyAlignment="1">
      <alignment horizontal="center"/>
    </xf>
    <xf numFmtId="2" fontId="5" fillId="0" borderId="2" xfId="2" applyNumberFormat="1" applyFont="1" applyFill="1" applyBorder="1" applyAlignment="1">
      <alignment horizontal="center"/>
    </xf>
    <xf numFmtId="2" fontId="5" fillId="0" borderId="7" xfId="2" applyNumberFormat="1" applyFont="1" applyFill="1" applyBorder="1" applyAlignment="1">
      <alignment horizontal="center"/>
    </xf>
    <xf numFmtId="2" fontId="4" fillId="2" borderId="2" xfId="2" applyNumberFormat="1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/>
    </xf>
    <xf numFmtId="9" fontId="5" fillId="0" borderId="7" xfId="3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5" fillId="0" borderId="3" xfId="3" applyFont="1" applyFill="1" applyBorder="1"/>
    <xf numFmtId="9" fontId="5" fillId="0" borderId="8" xfId="3" applyFont="1" applyFill="1" applyBorder="1"/>
    <xf numFmtId="0" fontId="3" fillId="3" borderId="8" xfId="2" applyFill="1" applyBorder="1"/>
    <xf numFmtId="0" fontId="5" fillId="2" borderId="5" xfId="2" applyFont="1" applyFill="1" applyBorder="1" applyAlignment="1">
      <alignment horizontal="center"/>
    </xf>
    <xf numFmtId="0" fontId="3" fillId="0" borderId="0" xfId="2" applyFont="1" applyFill="1"/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/>
    </xf>
    <xf numFmtId="0" fontId="5" fillId="2" borderId="2" xfId="2" applyFont="1" applyFill="1" applyBorder="1" applyAlignment="1">
      <alignment wrapText="1"/>
    </xf>
    <xf numFmtId="0" fontId="2" fillId="2" borderId="2" xfId="2" applyFont="1" applyFill="1" applyBorder="1" applyAlignment="1">
      <alignment horizontal="center"/>
    </xf>
    <xf numFmtId="0" fontId="4" fillId="0" borderId="2" xfId="2" applyFont="1" applyFill="1" applyBorder="1" applyAlignment="1">
      <alignment wrapText="1"/>
    </xf>
    <xf numFmtId="0" fontId="5" fillId="0" borderId="2" xfId="2" applyFont="1" applyFill="1" applyBorder="1" applyAlignment="1">
      <alignment wrapText="1"/>
    </xf>
    <xf numFmtId="0" fontId="2" fillId="2" borderId="15" xfId="2" applyFont="1" applyFill="1" applyBorder="1" applyAlignment="1">
      <alignment horizontal="center"/>
    </xf>
    <xf numFmtId="0" fontId="5" fillId="2" borderId="16" xfId="2" applyFont="1" applyFill="1" applyBorder="1" applyAlignment="1">
      <alignment wrapText="1"/>
    </xf>
    <xf numFmtId="0" fontId="2" fillId="2" borderId="16" xfId="2" applyFont="1" applyFill="1" applyBorder="1" applyAlignment="1">
      <alignment horizontal="center"/>
    </xf>
    <xf numFmtId="0" fontId="3" fillId="0" borderId="17" xfId="2" applyBorder="1" applyAlignment="1">
      <alignment horizontal="center"/>
    </xf>
    <xf numFmtId="0" fontId="4" fillId="0" borderId="18" xfId="2" applyFont="1" applyFill="1" applyBorder="1" applyAlignment="1">
      <alignment wrapText="1"/>
    </xf>
    <xf numFmtId="0" fontId="3" fillId="0" borderId="18" xfId="2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2" borderId="2" xfId="2" applyFill="1" applyBorder="1" applyAlignment="1">
      <alignment horizontal="center"/>
    </xf>
    <xf numFmtId="0" fontId="3" fillId="2" borderId="3" xfId="2" applyFill="1" applyBorder="1" applyAlignment="1">
      <alignment horizontal="center"/>
    </xf>
    <xf numFmtId="0" fontId="3" fillId="0" borderId="2" xfId="2" applyBorder="1" applyAlignment="1">
      <alignment horizontal="center"/>
    </xf>
    <xf numFmtId="0" fontId="3" fillId="0" borderId="3" xfId="2" applyBorder="1" applyAlignment="1">
      <alignment horizontal="center"/>
    </xf>
    <xf numFmtId="0" fontId="3" fillId="2" borderId="16" xfId="2" applyFill="1" applyBorder="1" applyAlignment="1">
      <alignment horizontal="center"/>
    </xf>
    <xf numFmtId="0" fontId="3" fillId="2" borderId="19" xfId="2" applyFill="1" applyBorder="1" applyAlignment="1">
      <alignment horizontal="center"/>
    </xf>
    <xf numFmtId="0" fontId="3" fillId="0" borderId="20" xfId="2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/>
    </xf>
    <xf numFmtId="0" fontId="3" fillId="0" borderId="0" xfId="2" applyBorder="1" applyAlignment="1">
      <alignment horizontal="center"/>
    </xf>
    <xf numFmtId="0" fontId="3" fillId="2" borderId="0" xfId="2" applyFill="1" applyBorder="1" applyAlignment="1">
      <alignment horizontal="center"/>
    </xf>
    <xf numFmtId="0" fontId="3" fillId="2" borderId="0" xfId="2" applyFill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9" fontId="5" fillId="0" borderId="0" xfId="3" applyFont="1" applyFill="1" applyAlignment="1">
      <alignment horizontal="center"/>
    </xf>
    <xf numFmtId="0" fontId="3" fillId="0" borderId="0" xfId="2" applyAlignment="1">
      <alignment wrapText="1"/>
    </xf>
    <xf numFmtId="0" fontId="5" fillId="0" borderId="0" xfId="2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17" fillId="0" borderId="0" xfId="2" applyFont="1" applyFill="1" applyBorder="1" applyAlignment="1">
      <alignment horizontal="center" vertical="center" wrapText="1"/>
    </xf>
    <xf numFmtId="0" fontId="2" fillId="0" borderId="10" xfId="2" quotePrefix="1" applyFont="1" applyFill="1" applyBorder="1" applyAlignment="1">
      <alignment horizontal="center"/>
    </xf>
    <xf numFmtId="0" fontId="4" fillId="0" borderId="11" xfId="0" applyFont="1" applyBorder="1" applyAlignment="1">
      <alignment wrapText="1"/>
    </xf>
    <xf numFmtId="0" fontId="3" fillId="0" borderId="11" xfId="2" applyBorder="1"/>
    <xf numFmtId="0" fontId="3" fillId="0" borderId="12" xfId="2" applyBorder="1"/>
    <xf numFmtId="0" fontId="3" fillId="0" borderId="2" xfId="2" applyBorder="1"/>
    <xf numFmtId="0" fontId="3" fillId="0" borderId="3" xfId="2" applyBorder="1"/>
    <xf numFmtId="0" fontId="5" fillId="0" borderId="7" xfId="0" applyFont="1" applyBorder="1" applyAlignment="1">
      <alignment wrapText="1"/>
    </xf>
    <xf numFmtId="0" fontId="3" fillId="0" borderId="7" xfId="2" applyBorder="1"/>
    <xf numFmtId="0" fontId="3" fillId="0" borderId="8" xfId="2" applyBorder="1"/>
    <xf numFmtId="0" fontId="2" fillId="4" borderId="4" xfId="2" applyFont="1" applyFill="1" applyBorder="1" applyAlignment="1">
      <alignment horizontal="center"/>
    </xf>
    <xf numFmtId="2" fontId="3" fillId="0" borderId="3" xfId="2" applyNumberFormat="1" applyBorder="1" applyAlignment="1">
      <alignment horizontal="center"/>
    </xf>
    <xf numFmtId="0" fontId="5" fillId="4" borderId="4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2" fontId="5" fillId="0" borderId="2" xfId="2" applyNumberFormat="1" applyFont="1" applyBorder="1" applyAlignment="1">
      <alignment horizontal="center"/>
    </xf>
    <xf numFmtId="2" fontId="5" fillId="2" borderId="2" xfId="2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" fillId="3" borderId="0" xfId="2" applyFill="1" applyAlignment="1">
      <alignment horizontal="center"/>
    </xf>
    <xf numFmtId="0" fontId="2" fillId="3" borderId="0" xfId="2" applyFont="1" applyFill="1" applyAlignment="1">
      <alignment horizontal="center"/>
    </xf>
    <xf numFmtId="0" fontId="5" fillId="0" borderId="0" xfId="2" applyFont="1" applyAlignment="1">
      <alignment horizontal="left"/>
    </xf>
    <xf numFmtId="0" fontId="5" fillId="2" borderId="4" xfId="0" applyFont="1" applyFill="1" applyBorder="1" applyAlignment="1">
      <alignment horizontal="center" wrapText="1"/>
    </xf>
    <xf numFmtId="0" fontId="5" fillId="4" borderId="2" xfId="2" applyFont="1" applyFill="1" applyBorder="1" applyAlignment="1">
      <alignment horizontal="center"/>
    </xf>
    <xf numFmtId="49" fontId="5" fillId="0" borderId="2" xfId="2" applyNumberFormat="1" applyFont="1" applyFill="1" applyBorder="1" applyAlignment="1">
      <alignment horizontal="center"/>
    </xf>
    <xf numFmtId="49" fontId="5" fillId="0" borderId="7" xfId="2" applyNumberFormat="1" applyFont="1" applyFill="1" applyBorder="1" applyAlignment="1">
      <alignment horizontal="center"/>
    </xf>
    <xf numFmtId="165" fontId="5" fillId="0" borderId="2" xfId="2" applyNumberFormat="1" applyFont="1" applyFill="1" applyBorder="1" applyAlignment="1">
      <alignment horizontal="center"/>
    </xf>
    <xf numFmtId="164" fontId="5" fillId="0" borderId="7" xfId="2" applyNumberFormat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2" fontId="5" fillId="3" borderId="2" xfId="2" applyNumberFormat="1" applyFont="1" applyFill="1" applyBorder="1" applyAlignment="1">
      <alignment horizontal="center"/>
    </xf>
    <xf numFmtId="2" fontId="5" fillId="3" borderId="7" xfId="2" applyNumberFormat="1" applyFont="1" applyFill="1" applyBorder="1" applyAlignment="1">
      <alignment horizontal="center"/>
    </xf>
    <xf numFmtId="0" fontId="3" fillId="0" borderId="0" xfId="2" applyFont="1"/>
    <xf numFmtId="0" fontId="10" fillId="0" borderId="11" xfId="2" applyFont="1" applyFill="1" applyBorder="1" applyAlignment="1">
      <alignment horizontal="center" vertical="center" wrapText="1"/>
    </xf>
    <xf numFmtId="0" fontId="21" fillId="5" borderId="0" xfId="2" applyFont="1" applyFill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_НПК_модель02.12.03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Структура стоимости заказа</a:t>
            </a:r>
          </a:p>
        </c:rich>
      </c:tx>
      <c:layout>
        <c:manualLayout>
          <c:xMode val="edge"/>
          <c:yMode val="edge"/>
          <c:x val="0.24324352699155846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594851397344"/>
          <c:y val="0.32027649769585254"/>
          <c:w val="0.61621702942492274"/>
          <c:h val="0.2096774193548387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B7-48BA-94E1-7446072FC4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B7-48BA-94E1-7446072FC4CF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BB7-48BA-94E1-7446072FC4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B7-48BA-94E1-7446072FC4CF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BB7-48BA-94E1-7446072FC4C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Калькуляция!$P$17:$P$21</c:f>
              <c:strCache>
                <c:ptCount val="5"/>
                <c:pt idx="0">
                  <c:v>Прямые производственные</c:v>
                </c:pt>
                <c:pt idx="1">
                  <c:v>Общепроизводственные</c:v>
                </c:pt>
                <c:pt idx="2">
                  <c:v>Административные затраты</c:v>
                </c:pt>
                <c:pt idx="3">
                  <c:v>Коммерческие расходы</c:v>
                </c:pt>
                <c:pt idx="4">
                  <c:v>Прибыль</c:v>
                </c:pt>
              </c:strCache>
            </c:strRef>
          </c:cat>
          <c:val>
            <c:numRef>
              <c:f>Калькуляция!$Q$17:$Q$21</c:f>
              <c:numCache>
                <c:formatCode>General</c:formatCode>
                <c:ptCount val="5"/>
                <c:pt idx="0">
                  <c:v>1148.115</c:v>
                </c:pt>
                <c:pt idx="1">
                  <c:v>894.45273109243703</c:v>
                </c:pt>
                <c:pt idx="2">
                  <c:v>510.64193277310926</c:v>
                </c:pt>
                <c:pt idx="3">
                  <c:v>680.85591036414564</c:v>
                </c:pt>
                <c:pt idx="4">
                  <c:v>565.93442577030828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B7-48BA-94E1-7446072F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4054054054054057E-2"/>
          <c:y val="0.80875576036866359"/>
          <c:w val="0.89459572958785549"/>
          <c:h val="0.177419354838709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0</xdr:rowOff>
    </xdr:from>
    <xdr:to>
      <xdr:col>10</xdr:col>
      <xdr:colOff>552450</xdr:colOff>
      <xdr:row>25</xdr:row>
      <xdr:rowOff>171450</xdr:rowOff>
    </xdr:to>
    <xdr:graphicFrame macro="">
      <xdr:nvGraphicFramePr>
        <xdr:cNvPr id="1027" name="Диаграмма 2">
          <a:extLst>
            <a:ext uri="{FF2B5EF4-FFF2-40B4-BE49-F238E27FC236}">
              <a16:creationId xmlns:a16="http://schemas.microsoft.com/office/drawing/2014/main" id="{C501425C-9949-4B2E-AD7A-6CD212B1F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A3" sqref="A3"/>
    </sheetView>
  </sheetViews>
  <sheetFormatPr defaultRowHeight="12.75" x14ac:dyDescent="0.2"/>
  <cols>
    <col min="1" max="1" width="114.28515625" style="4" customWidth="1"/>
  </cols>
  <sheetData>
    <row r="1" spans="1:14" ht="15.75" x14ac:dyDescent="0.25">
      <c r="A1" s="237" t="s">
        <v>419</v>
      </c>
    </row>
    <row r="2" spans="1:14" ht="15.75" x14ac:dyDescent="0.25">
      <c r="A2" s="237"/>
    </row>
    <row r="3" spans="1:14" ht="12.75" customHeight="1" x14ac:dyDescent="0.2">
      <c r="A3" s="239" t="s">
        <v>420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x14ac:dyDescent="0.2">
      <c r="A5" s="238" t="s">
        <v>421</v>
      </c>
    </row>
    <row r="7" spans="1:14" ht="12.75" customHeight="1" x14ac:dyDescent="0.2">
      <c r="A7" s="239" t="s">
        <v>422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9" spans="1:14" x14ac:dyDescent="0.2">
      <c r="A9" s="238" t="s">
        <v>421</v>
      </c>
    </row>
    <row r="11" spans="1:14" ht="12.75" customHeight="1" x14ac:dyDescent="0.2">
      <c r="A11" s="239" t="s">
        <v>423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</row>
    <row r="13" spans="1:14" x14ac:dyDescent="0.2">
      <c r="A13" s="238" t="s">
        <v>421</v>
      </c>
    </row>
    <row r="15" spans="1:14" ht="30" x14ac:dyDescent="0.2">
      <c r="A15" s="239" t="s">
        <v>424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</row>
    <row r="17" spans="1:14" x14ac:dyDescent="0.2">
      <c r="A17" s="238" t="s">
        <v>421</v>
      </c>
    </row>
    <row r="19" spans="1:14" ht="15" x14ac:dyDescent="0.2">
      <c r="A19" s="239" t="s">
        <v>425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</row>
    <row r="21" spans="1:14" x14ac:dyDescent="0.2">
      <c r="A21" s="238" t="s">
        <v>426</v>
      </c>
    </row>
    <row r="23" spans="1:14" ht="12.75" customHeight="1" x14ac:dyDescent="0.2">
      <c r="A23" s="239" t="s">
        <v>427</v>
      </c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</row>
    <row r="26" spans="1:14" ht="15" x14ac:dyDescent="0.2">
      <c r="A26" s="241" t="s">
        <v>428</v>
      </c>
    </row>
    <row r="27" spans="1:14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</sheetData>
  <phoneticPr fontId="14" type="noConversion"/>
  <hyperlinks>
    <hyperlink ref="A11:N11" location="'Уровень деятельности'!A1" display="3. Формирование прогноза уровня деятельности."/>
    <hyperlink ref="A15:N15" location="'Прогноз затрат'!A1" display="3. Формирование прогноза уровня затрат непосредственно не связанных с объемом заказов и расчет коэффициентов распределения на заказы."/>
    <hyperlink ref="A19:N19" location="'Парам заказа'!A1" display="5. Планирование параметров заказа по которому необходимо составить калькуляцию."/>
    <hyperlink ref="A23:N23" location="Калькуляция!A1" display="5. Автоматический расчет затрат по заказу."/>
    <hyperlink ref="A7:N7" location="Цены!A1" display="2. Планирование (корректировка) учетных цен на предстоящий месяц."/>
    <hyperlink ref="A3:N3" location="Нормы!A1" display="1. Планирование (корректировка) нормативов на предстоящий месяц."/>
  </hyperlink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4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8.7109375" style="45" customWidth="1"/>
    <col min="2" max="2" width="58.140625" style="45" customWidth="1"/>
    <col min="3" max="3" width="17.140625" style="18" customWidth="1"/>
    <col min="4" max="8" width="6.28515625" style="18" customWidth="1"/>
    <col min="9" max="10" width="7" style="18" customWidth="1"/>
    <col min="11" max="11" width="9.7109375" style="18" customWidth="1"/>
    <col min="12" max="40" width="6.28515625" style="18" customWidth="1"/>
    <col min="41" max="16384" width="9.140625" style="18"/>
  </cols>
  <sheetData>
    <row r="1" spans="1:40" x14ac:dyDescent="0.2">
      <c r="A1" s="15" t="s">
        <v>72</v>
      </c>
      <c r="B1" s="16" t="s">
        <v>343</v>
      </c>
      <c r="C1" s="16" t="s">
        <v>299</v>
      </c>
    </row>
    <row r="2" spans="1:40" s="42" customFormat="1" ht="14.25" x14ac:dyDescent="0.2">
      <c r="A2" s="105"/>
      <c r="B2" s="97" t="s">
        <v>348</v>
      </c>
      <c r="C2" s="98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N2" s="96"/>
    </row>
    <row r="3" spans="1:40" x14ac:dyDescent="0.2">
      <c r="A3" s="99" t="s">
        <v>122</v>
      </c>
      <c r="B3" s="100" t="str">
        <f>VLOOKUP(A3,Справочники!$A:$B,2,FALSE)</f>
        <v>Прямые производственные</v>
      </c>
      <c r="C3" s="152">
        <f ca="1">SUM(C4:C15)</f>
        <v>1148.115</v>
      </c>
    </row>
    <row r="4" spans="1:40" x14ac:dyDescent="0.2">
      <c r="A4" s="99" t="s">
        <v>76</v>
      </c>
      <c r="B4" s="93" t="str">
        <f>VLOOKUP(A4,Справочники!$A:$B,2,FALSE)</f>
        <v>Пластины</v>
      </c>
      <c r="C4" s="151">
        <f>Пластины!I2</f>
        <v>60</v>
      </c>
    </row>
    <row r="5" spans="1:40" x14ac:dyDescent="0.2">
      <c r="A5" s="99" t="s">
        <v>81</v>
      </c>
      <c r="B5" s="93" t="str">
        <f>VLOOKUP(A5,Справочники!$A:$B,2,FALSE)</f>
        <v>Резерв на брак и перенастройки по пластинам / брак при учете</v>
      </c>
      <c r="C5" s="151">
        <f>Пластины!K2</f>
        <v>1.2</v>
      </c>
    </row>
    <row r="6" spans="1:40" x14ac:dyDescent="0.2">
      <c r="A6" s="99" t="s">
        <v>124</v>
      </c>
      <c r="B6" s="93" t="str">
        <f>VLOOKUP(A6,Справочники!$A:$B,2,FALSE)</f>
        <v>Бумага</v>
      </c>
      <c r="C6" s="151">
        <f>Бумага!J2</f>
        <v>250</v>
      </c>
    </row>
    <row r="7" spans="1:40" x14ac:dyDescent="0.2">
      <c r="A7" s="99" t="s">
        <v>166</v>
      </c>
      <c r="B7" s="93" t="str">
        <f>VLOOKUP(A7,Справочники!$A:$B,2,FALSE)</f>
        <v>Возвратные отходы</v>
      </c>
      <c r="C7" s="151">
        <f ca="1">-'Возв отходы'!G2</f>
        <v>-22.125</v>
      </c>
    </row>
    <row r="8" spans="1:40" x14ac:dyDescent="0.2">
      <c r="A8" s="99" t="s">
        <v>167</v>
      </c>
      <c r="B8" s="93" t="str">
        <f>VLOOKUP(A8,Справочники!$A:$B,2,FALSE)</f>
        <v>Краска и лак</v>
      </c>
      <c r="C8" s="151">
        <f>Краска!I2</f>
        <v>0.60000000000000009</v>
      </c>
    </row>
    <row r="9" spans="1:40" x14ac:dyDescent="0.2">
      <c r="A9" s="99" t="s">
        <v>168</v>
      </c>
      <c r="B9" s="93" t="str">
        <f>VLOOKUP(A9,Справочники!$A:$B,2,FALSE)</f>
        <v>Химикаты</v>
      </c>
      <c r="C9" s="151">
        <f>Химикаты!I18</f>
        <v>246.69</v>
      </c>
    </row>
    <row r="10" spans="1:40" x14ac:dyDescent="0.2">
      <c r="A10" s="99" t="s">
        <v>169</v>
      </c>
      <c r="B10" s="93" t="str">
        <f>VLOOKUP(A10,Справочники!$A:$B,2,FALSE)</f>
        <v>Офсетная резина</v>
      </c>
      <c r="C10" s="151">
        <f>Резина!I2</f>
        <v>0.85</v>
      </c>
    </row>
    <row r="11" spans="1:40" x14ac:dyDescent="0.2">
      <c r="A11" s="99" t="s">
        <v>170</v>
      </c>
      <c r="B11" s="93" t="str">
        <f>VLOOKUP(A11,Справочники!$A:$B,2,FALSE)</f>
        <v>Проволока для скрепления</v>
      </c>
      <c r="C11" s="151">
        <f>Проволока!F2</f>
        <v>15</v>
      </c>
    </row>
    <row r="12" spans="1:40" x14ac:dyDescent="0.2">
      <c r="A12" s="99" t="s">
        <v>171</v>
      </c>
      <c r="B12" s="93" t="str">
        <f>VLOOKUP(A12,Справочники!$A:$B,2,FALSE)</f>
        <v>Скотч и бумага для упаковки тиража</v>
      </c>
      <c r="C12" s="151">
        <f>'Скотч и бум'!E2</f>
        <v>0.8</v>
      </c>
    </row>
    <row r="13" spans="1:40" x14ac:dyDescent="0.2">
      <c r="A13" s="99" t="s">
        <v>172</v>
      </c>
      <c r="B13" s="93" t="str">
        <f>VLOOKUP(A13,Справочники!$A:$B,2,FALSE)</f>
        <v>Заработная плата</v>
      </c>
      <c r="C13" s="151">
        <f>'Основ зарплата'!G2</f>
        <v>215</v>
      </c>
    </row>
    <row r="14" spans="1:40" x14ac:dyDescent="0.2">
      <c r="A14" s="99" t="s">
        <v>173</v>
      </c>
      <c r="B14" s="93" t="str">
        <f>VLOOKUP(A14,Справочники!$A:$B,2,FALSE)</f>
        <v>Отчисления с заработной платы</v>
      </c>
      <c r="C14" s="151">
        <f>'Основ зарплата'!I2</f>
        <v>30.100000000000005</v>
      </c>
    </row>
    <row r="15" spans="1:40" x14ac:dyDescent="0.2">
      <c r="A15" s="99" t="s">
        <v>174</v>
      </c>
      <c r="B15" s="93" t="str">
        <f>VLOOKUP(A15,Справочники!$A:$B,2,FALSE)</f>
        <v>Производственные услуги сторонних организаций</v>
      </c>
      <c r="C15" s="151">
        <f>'Парам заказа'!C19</f>
        <v>350</v>
      </c>
    </row>
    <row r="16" spans="1:40" x14ac:dyDescent="0.2">
      <c r="A16" s="99" t="s">
        <v>125</v>
      </c>
      <c r="B16" s="100" t="str">
        <f>VLOOKUP(A16,Справочники!$A:$B,2,FALSE)</f>
        <v>Общепроизводственные</v>
      </c>
      <c r="C16" s="151">
        <f>SUM(C17:C20)</f>
        <v>894.45273109243703</v>
      </c>
    </row>
    <row r="17" spans="1:40" x14ac:dyDescent="0.2">
      <c r="A17" s="99" t="s">
        <v>84</v>
      </c>
      <c r="B17" s="93" t="str">
        <f>VLOOKUP(A17,Справочники!$A:$B,2,FALSE)</f>
        <v>Амортизация оборудования</v>
      </c>
      <c r="C17" s="151">
        <f>SUMIF('Накл на заказ'!C$2:C$50,A17,'Накл на заказ'!H$2:H$50)</f>
        <v>20</v>
      </c>
      <c r="P17" s="21" t="str">
        <f>B3</f>
        <v>Прямые производственные</v>
      </c>
      <c r="Q17" s="21">
        <f ca="1">C3</f>
        <v>1148.115</v>
      </c>
    </row>
    <row r="18" spans="1:40" x14ac:dyDescent="0.2">
      <c r="A18" s="99" t="s">
        <v>87</v>
      </c>
      <c r="B18" s="93" t="str">
        <f>VLOOKUP(A18,Справочники!$A:$B,2,FALSE)</f>
        <v>Вспомогательные материалы</v>
      </c>
      <c r="C18" s="151">
        <f>SUMIF('Накл на заказ'!C$2:C$50,A18,'Накл на заказ'!H$2:H$50)</f>
        <v>235.48214285714283</v>
      </c>
      <c r="P18" s="21" t="str">
        <f>B16</f>
        <v>Общепроизводственные</v>
      </c>
      <c r="Q18" s="21">
        <f>C16</f>
        <v>894.45273109243703</v>
      </c>
    </row>
    <row r="19" spans="1:40" x14ac:dyDescent="0.2">
      <c r="A19" s="99" t="s">
        <v>175</v>
      </c>
      <c r="B19" s="93" t="str">
        <f>VLOOKUP(A19,Справочники!$A:$B,2,FALSE)</f>
        <v>Запчасти для ремонта оборудования</v>
      </c>
      <c r="C19" s="151">
        <f>SUMIF('Накл на заказ'!C$2:C$50,A19,'Накл на заказ'!H$2:H$50)</f>
        <v>262.5</v>
      </c>
      <c r="P19" s="21" t="str">
        <f>B21</f>
        <v>Административные затраты</v>
      </c>
      <c r="Q19" s="21">
        <f ca="1">C21</f>
        <v>510.64193277310926</v>
      </c>
    </row>
    <row r="20" spans="1:40" x14ac:dyDescent="0.2">
      <c r="A20" s="99" t="s">
        <v>176</v>
      </c>
      <c r="B20" s="93" t="str">
        <f>VLOOKUP(A20,Справочники!$A:$B,2,FALSE)</f>
        <v>Услуги стор орг-ий по рем и обслуж оборуд-я</v>
      </c>
      <c r="C20" s="151">
        <f>SUMIF('Накл на заказ'!C$2:C$50,A20,'Накл на заказ'!H$2:H$50)</f>
        <v>376.47058823529414</v>
      </c>
      <c r="P20" s="21" t="str">
        <f>B22</f>
        <v>Коммерческие расходы</v>
      </c>
      <c r="Q20" s="21">
        <f ca="1">C22</f>
        <v>680.85591036414564</v>
      </c>
    </row>
    <row r="21" spans="1:40" x14ac:dyDescent="0.2">
      <c r="A21" s="99" t="s">
        <v>162</v>
      </c>
      <c r="B21" s="100" t="str">
        <f>VLOOKUP(A21,Справочники!$A:$B,2,FALSE)</f>
        <v>Административные затраты</v>
      </c>
      <c r="C21" s="151">
        <f ca="1">SUMIF('Накл на заказ'!C$2:C$50,A21,'Накл на заказ'!H$2:H$50)</f>
        <v>510.64193277310926</v>
      </c>
      <c r="P21" s="21" t="str">
        <f>B25</f>
        <v>Прибыль</v>
      </c>
      <c r="Q21" s="21">
        <f ca="1">C25</f>
        <v>565.93442577030828</v>
      </c>
    </row>
    <row r="22" spans="1:40" x14ac:dyDescent="0.2">
      <c r="A22" s="99" t="s">
        <v>144</v>
      </c>
      <c r="B22" s="100" t="str">
        <f>VLOOKUP(A22,Справочники!$A:$B,2,FALSE)</f>
        <v>Коммерческие расходы</v>
      </c>
      <c r="C22" s="151">
        <f ca="1">SUMIF('Накл на заказ'!C$2:C$50,A22,'Накл на заказ'!H$2:H$50)</f>
        <v>680.85591036414564</v>
      </c>
    </row>
    <row r="23" spans="1:40" s="42" customFormat="1" ht="14.25" x14ac:dyDescent="0.2">
      <c r="A23" s="101"/>
      <c r="B23" s="102" t="s">
        <v>344</v>
      </c>
      <c r="C23" s="153">
        <f ca="1">SUM(C3,C16,C21,C22)</f>
        <v>3234.0655742296917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N23" s="96"/>
    </row>
    <row r="24" spans="1:40" s="42" customFormat="1" ht="14.25" x14ac:dyDescent="0.2">
      <c r="A24" s="101"/>
      <c r="B24" s="102" t="s">
        <v>345</v>
      </c>
      <c r="C24" s="153">
        <v>3800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N24" s="96"/>
    </row>
    <row r="25" spans="1:40" s="42" customFormat="1" ht="14.25" x14ac:dyDescent="0.2">
      <c r="A25" s="101"/>
      <c r="B25" s="102" t="s">
        <v>346</v>
      </c>
      <c r="C25" s="153">
        <f ca="1">C24-C23</f>
        <v>565.93442577030828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N25" s="96"/>
    </row>
    <row r="26" spans="1:40" s="42" customFormat="1" ht="14.25" x14ac:dyDescent="0.2">
      <c r="A26" s="103"/>
      <c r="B26" s="104" t="s">
        <v>347</v>
      </c>
      <c r="C26" s="154">
        <f ca="1">C25/C24</f>
        <v>0.14893011204481796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N26" s="96"/>
    </row>
    <row r="27" spans="1:40" x14ac:dyDescent="0.2">
      <c r="A27" s="2"/>
      <c r="B27" s="13"/>
      <c r="C27" s="14"/>
    </row>
    <row r="28" spans="1:40" x14ac:dyDescent="0.2">
      <c r="A28" s="2"/>
      <c r="B28" s="13"/>
      <c r="C28" s="14"/>
    </row>
    <row r="29" spans="1:40" x14ac:dyDescent="0.2">
      <c r="A29" s="2"/>
      <c r="B29" s="13"/>
      <c r="C29" s="14"/>
    </row>
    <row r="30" spans="1:40" x14ac:dyDescent="0.2">
      <c r="A30" s="2"/>
      <c r="B30" s="13"/>
      <c r="C30" s="14"/>
    </row>
    <row r="31" spans="1:40" x14ac:dyDescent="0.2">
      <c r="A31" s="2"/>
      <c r="B31" s="13"/>
      <c r="C31" s="14"/>
    </row>
    <row r="32" spans="1:40" x14ac:dyDescent="0.2">
      <c r="A32" s="2"/>
      <c r="B32" s="13"/>
      <c r="C32" s="14"/>
    </row>
    <row r="33" spans="1:3" x14ac:dyDescent="0.2">
      <c r="A33" s="2"/>
      <c r="B33" s="13"/>
      <c r="C33" s="14"/>
    </row>
    <row r="34" spans="1:3" x14ac:dyDescent="0.2">
      <c r="A34" s="2"/>
      <c r="B34" s="13"/>
      <c r="C34" s="14"/>
    </row>
    <row r="35" spans="1:3" x14ac:dyDescent="0.2">
      <c r="A35" s="2"/>
      <c r="B35" s="13"/>
      <c r="C35" s="14"/>
    </row>
    <row r="36" spans="1:3" x14ac:dyDescent="0.2">
      <c r="A36" s="2"/>
      <c r="B36" s="13"/>
      <c r="C36" s="14"/>
    </row>
    <row r="37" spans="1:3" x14ac:dyDescent="0.2">
      <c r="A37" s="2"/>
      <c r="B37" s="13"/>
      <c r="C37" s="14"/>
    </row>
    <row r="38" spans="1:3" x14ac:dyDescent="0.2">
      <c r="A38" s="2"/>
      <c r="B38" s="13"/>
      <c r="C38" s="14"/>
    </row>
    <row r="39" spans="1:3" x14ac:dyDescent="0.2">
      <c r="A39" s="2"/>
      <c r="B39" s="13"/>
      <c r="C39" s="14"/>
    </row>
    <row r="40" spans="1:3" x14ac:dyDescent="0.2">
      <c r="A40" s="2"/>
      <c r="B40" s="13"/>
      <c r="C40" s="14"/>
    </row>
    <row r="41" spans="1:3" x14ac:dyDescent="0.2">
      <c r="A41" s="2"/>
      <c r="B41" s="13"/>
    </row>
    <row r="42" spans="1:3" x14ac:dyDescent="0.2">
      <c r="A42" s="2"/>
    </row>
    <row r="43" spans="1:3" x14ac:dyDescent="0.2">
      <c r="A43" s="2"/>
    </row>
    <row r="44" spans="1:3" x14ac:dyDescent="0.2">
      <c r="A44" s="2"/>
    </row>
    <row r="45" spans="1:3" x14ac:dyDescent="0.2">
      <c r="A45" s="2"/>
    </row>
    <row r="46" spans="1:3" x14ac:dyDescent="0.2">
      <c r="A46" s="2"/>
    </row>
    <row r="47" spans="1:3" x14ac:dyDescent="0.2">
      <c r="A47" s="2"/>
      <c r="B47" s="21"/>
    </row>
    <row r="48" spans="1:3" x14ac:dyDescent="0.2">
      <c r="A48" s="2"/>
      <c r="B48" s="21"/>
      <c r="C48" s="14"/>
    </row>
    <row r="49" spans="1:33" x14ac:dyDescent="0.2">
      <c r="A49" s="2"/>
      <c r="B49" s="21"/>
      <c r="C49" s="14"/>
    </row>
    <row r="50" spans="1:33" x14ac:dyDescent="0.2">
      <c r="A50" s="2"/>
      <c r="B50" s="21"/>
    </row>
    <row r="51" spans="1:33" x14ac:dyDescent="0.2">
      <c r="A51" s="2"/>
      <c r="B51" s="21"/>
      <c r="C51" s="35"/>
    </row>
    <row r="52" spans="1:33" s="39" customFormat="1" ht="13.5" thickBot="1" x14ac:dyDescent="0.25">
      <c r="A52" s="37"/>
      <c r="B52" s="38"/>
    </row>
    <row r="53" spans="1:33" ht="14.25" x14ac:dyDescent="0.2">
      <c r="A53" s="15"/>
      <c r="B53" s="17"/>
      <c r="C53" s="35"/>
    </row>
    <row r="54" spans="1:33" ht="14.25" x14ac:dyDescent="0.2">
      <c r="A54" s="15"/>
      <c r="B54" s="17"/>
      <c r="C54" s="35"/>
    </row>
    <row r="55" spans="1:33" s="53" customFormat="1" ht="14.25" x14ac:dyDescent="0.2">
      <c r="A55" s="47"/>
      <c r="B55" s="48"/>
      <c r="C55" s="54"/>
    </row>
    <row r="56" spans="1:33" x14ac:dyDescent="0.2">
      <c r="A56" s="2"/>
      <c r="B56" s="1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</row>
    <row r="57" spans="1:33" x14ac:dyDescent="0.2">
      <c r="A57" s="2"/>
      <c r="B57" s="21"/>
    </row>
    <row r="58" spans="1:33" x14ac:dyDescent="0.2">
      <c r="A58" s="2"/>
      <c r="B58" s="21"/>
    </row>
    <row r="59" spans="1:33" x14ac:dyDescent="0.2">
      <c r="A59" s="2"/>
      <c r="B59" s="21"/>
    </row>
    <row r="60" spans="1:33" s="39" customFormat="1" ht="13.5" thickBot="1" x14ac:dyDescent="0.25">
      <c r="A60" s="37"/>
      <c r="B60" s="38"/>
    </row>
    <row r="61" spans="1:33" s="35" customFormat="1" x14ac:dyDescent="0.2">
      <c r="A61" s="40"/>
      <c r="B61" s="40"/>
    </row>
    <row r="62" spans="1:33" s="35" customFormat="1" x14ac:dyDescent="0.2">
      <c r="A62" s="40"/>
      <c r="B62" s="40"/>
    </row>
    <row r="63" spans="1:33" s="54" customFormat="1" ht="14.25" x14ac:dyDescent="0.2">
      <c r="A63" s="55"/>
      <c r="B63" s="48"/>
    </row>
    <row r="64" spans="1:33" x14ac:dyDescent="0.2">
      <c r="A64" s="40"/>
      <c r="B64" s="21"/>
    </row>
    <row r="65" spans="1:2" x14ac:dyDescent="0.2">
      <c r="A65" s="40"/>
      <c r="B65" s="21"/>
    </row>
    <row r="66" spans="1:2" x14ac:dyDescent="0.2">
      <c r="A66" s="40"/>
      <c r="B66" s="20"/>
    </row>
    <row r="67" spans="1:2" x14ac:dyDescent="0.2">
      <c r="A67" s="40"/>
      <c r="B67" s="19"/>
    </row>
    <row r="68" spans="1:2" x14ac:dyDescent="0.2">
      <c r="A68" s="40"/>
      <c r="B68" s="19"/>
    </row>
    <row r="69" spans="1:2" x14ac:dyDescent="0.2">
      <c r="A69" s="40"/>
      <c r="B69" s="20"/>
    </row>
    <row r="70" spans="1:2" x14ac:dyDescent="0.2">
      <c r="A70" s="40"/>
      <c r="B70" s="19"/>
    </row>
    <row r="71" spans="1:2" x14ac:dyDescent="0.2">
      <c r="A71" s="40"/>
      <c r="B71" s="19"/>
    </row>
    <row r="72" spans="1:2" x14ac:dyDescent="0.2">
      <c r="A72" s="40"/>
      <c r="B72" s="21"/>
    </row>
    <row r="73" spans="1:2" x14ac:dyDescent="0.2">
      <c r="A73" s="40"/>
      <c r="B73" s="20"/>
    </row>
    <row r="74" spans="1:2" x14ac:dyDescent="0.2">
      <c r="A74" s="40"/>
      <c r="B74" s="20"/>
    </row>
    <row r="75" spans="1:2" s="39" customFormat="1" ht="13.5" thickBot="1" x14ac:dyDescent="0.25">
      <c r="A75" s="37"/>
      <c r="B75" s="38"/>
    </row>
    <row r="76" spans="1:2" s="35" customFormat="1" x14ac:dyDescent="0.2">
      <c r="A76" s="40"/>
      <c r="B76" s="40"/>
    </row>
    <row r="77" spans="1:2" x14ac:dyDescent="0.2">
      <c r="A77" s="43"/>
      <c r="B77" s="43"/>
    </row>
    <row r="78" spans="1:2" s="53" customFormat="1" ht="14.25" x14ac:dyDescent="0.2">
      <c r="A78" s="56"/>
      <c r="B78" s="48"/>
    </row>
    <row r="79" spans="1:2" x14ac:dyDescent="0.2">
      <c r="A79" s="40"/>
      <c r="B79" s="21"/>
    </row>
    <row r="80" spans="1:2" x14ac:dyDescent="0.2">
      <c r="A80" s="40"/>
      <c r="B80" s="21"/>
    </row>
    <row r="81" spans="1:40" x14ac:dyDescent="0.2">
      <c r="A81" s="40"/>
      <c r="B81" s="21"/>
    </row>
    <row r="82" spans="1:40" x14ac:dyDescent="0.2">
      <c r="A82" s="40"/>
      <c r="B82" s="21"/>
    </row>
    <row r="83" spans="1:40" x14ac:dyDescent="0.2">
      <c r="A83" s="40"/>
      <c r="B83" s="21"/>
    </row>
    <row r="84" spans="1:40" x14ac:dyDescent="0.2">
      <c r="A84" s="40"/>
      <c r="B84" s="21"/>
    </row>
    <row r="85" spans="1:40" x14ac:dyDescent="0.2">
      <c r="A85" s="40"/>
      <c r="B85" s="21"/>
    </row>
    <row r="86" spans="1:40" x14ac:dyDescent="0.2">
      <c r="A86" s="40"/>
      <c r="B86" s="21"/>
    </row>
    <row r="87" spans="1:40" x14ac:dyDescent="0.2">
      <c r="A87" s="40"/>
      <c r="B87" s="21"/>
    </row>
    <row r="88" spans="1:40" x14ac:dyDescent="0.2">
      <c r="A88" s="40"/>
      <c r="B88" s="21"/>
    </row>
    <row r="89" spans="1:40" x14ac:dyDescent="0.2">
      <c r="A89" s="40"/>
      <c r="B89" s="21"/>
    </row>
    <row r="90" spans="1:40" x14ac:dyDescent="0.2">
      <c r="A90" s="40"/>
      <c r="B90" s="21"/>
    </row>
    <row r="91" spans="1:40" s="39" customFormat="1" ht="13.5" thickBot="1" x14ac:dyDescent="0.25">
      <c r="A91" s="37"/>
      <c r="B91" s="38"/>
    </row>
    <row r="92" spans="1:40" x14ac:dyDescent="0.2">
      <c r="A92" s="36"/>
      <c r="B92" s="36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</row>
    <row r="93" spans="1:40" x14ac:dyDescent="0.2">
      <c r="A93" s="36"/>
      <c r="B93" s="36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</row>
    <row r="94" spans="1:40" s="53" customFormat="1" ht="14.25" x14ac:dyDescent="0.2">
      <c r="A94" s="56"/>
      <c r="B94" s="48"/>
    </row>
    <row r="95" spans="1:40" x14ac:dyDescent="0.2">
      <c r="A95" s="40"/>
      <c r="B95" s="21"/>
    </row>
    <row r="96" spans="1:40" x14ac:dyDescent="0.2">
      <c r="A96" s="40"/>
      <c r="B96" s="21"/>
    </row>
    <row r="97" spans="1:40" x14ac:dyDescent="0.2">
      <c r="A97" s="40"/>
      <c r="B97" s="21"/>
    </row>
    <row r="98" spans="1:40" x14ac:dyDescent="0.2">
      <c r="A98" s="40"/>
      <c r="B98" s="21"/>
    </row>
    <row r="99" spans="1:40" s="39" customFormat="1" ht="13.5" thickBot="1" x14ac:dyDescent="0.25">
      <c r="A99" s="37"/>
      <c r="B99" s="38"/>
    </row>
    <row r="100" spans="1:40" x14ac:dyDescent="0.2">
      <c r="A100" s="36"/>
      <c r="B100" s="36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</row>
    <row r="101" spans="1:40" x14ac:dyDescent="0.2">
      <c r="A101" s="36"/>
      <c r="B101" s="36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</row>
    <row r="102" spans="1:40" s="53" customFormat="1" ht="14.25" x14ac:dyDescent="0.2">
      <c r="B102" s="48"/>
    </row>
    <row r="103" spans="1:40" x14ac:dyDescent="0.2">
      <c r="A103" s="2"/>
      <c r="B103" s="21"/>
    </row>
    <row r="104" spans="1:40" x14ac:dyDescent="0.2">
      <c r="A104" s="2"/>
      <c r="B104" s="21"/>
    </row>
    <row r="105" spans="1:40" x14ac:dyDescent="0.2">
      <c r="A105" s="2"/>
      <c r="B105" s="21"/>
    </row>
    <row r="106" spans="1:40" x14ac:dyDescent="0.2">
      <c r="A106" s="2"/>
      <c r="B106" s="21"/>
    </row>
    <row r="107" spans="1:40" x14ac:dyDescent="0.2">
      <c r="A107" s="2"/>
      <c r="B107" s="21"/>
    </row>
    <row r="108" spans="1:40" x14ac:dyDescent="0.2">
      <c r="A108" s="2"/>
      <c r="B108" s="21"/>
    </row>
    <row r="109" spans="1:40" x14ac:dyDescent="0.2">
      <c r="A109" s="2"/>
      <c r="B109" s="21"/>
    </row>
    <row r="110" spans="1:40" x14ac:dyDescent="0.2">
      <c r="A110" s="2"/>
      <c r="B110" s="21"/>
    </row>
    <row r="111" spans="1:40" x14ac:dyDescent="0.2">
      <c r="A111" s="2"/>
      <c r="B111" s="21"/>
    </row>
    <row r="112" spans="1:40" x14ac:dyDescent="0.2">
      <c r="A112" s="2"/>
      <c r="B112" s="21"/>
    </row>
    <row r="113" spans="1:40" x14ac:dyDescent="0.2">
      <c r="A113" s="2"/>
      <c r="B113" s="21"/>
    </row>
    <row r="114" spans="1:40" x14ac:dyDescent="0.2">
      <c r="A114" s="2"/>
      <c r="B114" s="21"/>
    </row>
    <row r="115" spans="1:40" s="39" customFormat="1" ht="13.5" thickBot="1" x14ac:dyDescent="0.25">
      <c r="A115" s="37"/>
      <c r="B115" s="38"/>
    </row>
    <row r="116" spans="1:40" x14ac:dyDescent="0.2">
      <c r="A116" s="36"/>
      <c r="B116" s="36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</row>
    <row r="117" spans="1:40" x14ac:dyDescent="0.2">
      <c r="A117" s="36"/>
      <c r="B117" s="36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</row>
    <row r="118" spans="1:40" s="53" customFormat="1" ht="14.25" x14ac:dyDescent="0.2">
      <c r="B118" s="48"/>
    </row>
    <row r="119" spans="1:40" x14ac:dyDescent="0.2">
      <c r="A119" s="2"/>
      <c r="B119" s="21"/>
    </row>
    <row r="120" spans="1:40" x14ac:dyDescent="0.2">
      <c r="A120" s="2"/>
      <c r="B120" s="21"/>
    </row>
    <row r="121" spans="1:40" x14ac:dyDescent="0.2">
      <c r="A121" s="2"/>
      <c r="B121" s="20"/>
    </row>
    <row r="122" spans="1:40" x14ac:dyDescent="0.2">
      <c r="A122" s="2"/>
      <c r="B122" s="20"/>
    </row>
    <row r="123" spans="1:40" x14ac:dyDescent="0.2">
      <c r="A123" s="2"/>
      <c r="B123" s="20"/>
    </row>
    <row r="124" spans="1:40" x14ac:dyDescent="0.2">
      <c r="A124" s="2"/>
      <c r="B124" s="21"/>
    </row>
    <row r="125" spans="1:40" x14ac:dyDescent="0.2">
      <c r="A125" s="2"/>
      <c r="B125" s="20"/>
    </row>
    <row r="126" spans="1:40" x14ac:dyDescent="0.2">
      <c r="A126" s="2"/>
      <c r="B126" s="19"/>
    </row>
    <row r="127" spans="1:40" x14ac:dyDescent="0.2">
      <c r="A127" s="2"/>
      <c r="B127" s="19"/>
    </row>
    <row r="128" spans="1:40" x14ac:dyDescent="0.2">
      <c r="A128" s="2"/>
      <c r="B128" s="19"/>
    </row>
    <row r="129" spans="1:40" x14ac:dyDescent="0.2">
      <c r="A129" s="2"/>
      <c r="B129" s="19"/>
    </row>
    <row r="130" spans="1:40" x14ac:dyDescent="0.2">
      <c r="A130" s="2"/>
      <c r="B130" s="20"/>
    </row>
    <row r="131" spans="1:40" x14ac:dyDescent="0.2">
      <c r="A131" s="2"/>
      <c r="B131" s="19"/>
    </row>
    <row r="132" spans="1:40" x14ac:dyDescent="0.2">
      <c r="A132" s="2"/>
      <c r="B132" s="19"/>
    </row>
    <row r="133" spans="1:40" x14ac:dyDescent="0.2">
      <c r="A133" s="2"/>
      <c r="B133" s="19"/>
    </row>
    <row r="134" spans="1:40" s="39" customFormat="1" ht="13.5" thickBot="1" x14ac:dyDescent="0.25">
      <c r="A134" s="37"/>
      <c r="B134" s="38"/>
    </row>
    <row r="135" spans="1:40" x14ac:dyDescent="0.2">
      <c r="A135" s="36"/>
      <c r="B135" s="36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</row>
    <row r="136" spans="1:40" x14ac:dyDescent="0.2">
      <c r="A136" s="36"/>
      <c r="B136" s="36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</row>
    <row r="137" spans="1:40" s="53" customFormat="1" ht="14.25" x14ac:dyDescent="0.2">
      <c r="B137" s="48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</row>
    <row r="138" spans="1:40" x14ac:dyDescent="0.2">
      <c r="A138" s="2"/>
      <c r="B138" s="21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</row>
    <row r="139" spans="1:40" x14ac:dyDescent="0.2">
      <c r="A139" s="2"/>
      <c r="B139" s="21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</row>
    <row r="140" spans="1:40" x14ac:dyDescent="0.2">
      <c r="A140" s="2"/>
      <c r="B140" s="21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</row>
    <row r="141" spans="1:40" s="39" customFormat="1" ht="13.5" thickBot="1" x14ac:dyDescent="0.25">
      <c r="A141" s="37"/>
      <c r="B141" s="38"/>
    </row>
    <row r="142" spans="1:40" s="35" customFormat="1" x14ac:dyDescent="0.2">
      <c r="A142" s="40"/>
      <c r="B142" s="41"/>
    </row>
    <row r="143" spans="1:40" x14ac:dyDescent="0.2">
      <c r="A143" s="36"/>
      <c r="B143" s="36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</row>
    <row r="144" spans="1:40" s="53" customFormat="1" ht="14.25" x14ac:dyDescent="0.2">
      <c r="B144" s="48"/>
    </row>
    <row r="145" spans="1:2" x14ac:dyDescent="0.2">
      <c r="A145" s="2"/>
      <c r="B145" s="21"/>
    </row>
    <row r="146" spans="1:2" x14ac:dyDescent="0.2">
      <c r="A146" s="2"/>
      <c r="B146" s="21"/>
    </row>
    <row r="147" spans="1:2" x14ac:dyDescent="0.2">
      <c r="A147" s="2"/>
      <c r="B147" s="21"/>
    </row>
    <row r="148" spans="1:2" x14ac:dyDescent="0.2">
      <c r="A148" s="2"/>
      <c r="B148" s="21"/>
    </row>
    <row r="149" spans="1:2" x14ac:dyDescent="0.2">
      <c r="A149" s="2"/>
      <c r="B149" s="21"/>
    </row>
    <row r="150" spans="1:2" x14ac:dyDescent="0.2">
      <c r="A150" s="2"/>
      <c r="B150" s="21"/>
    </row>
    <row r="151" spans="1:2" x14ac:dyDescent="0.2">
      <c r="A151" s="2"/>
      <c r="B151" s="21"/>
    </row>
    <row r="152" spans="1:2" x14ac:dyDescent="0.2">
      <c r="A152" s="2"/>
      <c r="B152" s="21"/>
    </row>
    <row r="153" spans="1:2" x14ac:dyDescent="0.2">
      <c r="A153" s="2"/>
      <c r="B153" s="21"/>
    </row>
    <row r="154" spans="1:2" x14ac:dyDescent="0.2">
      <c r="A154" s="2"/>
      <c r="B154" s="21"/>
    </row>
    <row r="155" spans="1:2" x14ac:dyDescent="0.2">
      <c r="A155" s="2"/>
      <c r="B155" s="21"/>
    </row>
    <row r="156" spans="1:2" x14ac:dyDescent="0.2">
      <c r="A156" s="2"/>
      <c r="B156" s="21"/>
    </row>
    <row r="157" spans="1:2" x14ac:dyDescent="0.2">
      <c r="A157" s="2"/>
      <c r="B157" s="21"/>
    </row>
    <row r="158" spans="1:2" s="39" customFormat="1" ht="13.5" thickBot="1" x14ac:dyDescent="0.25">
      <c r="A158" s="37"/>
      <c r="B158" s="38"/>
    </row>
    <row r="159" spans="1:2" x14ac:dyDescent="0.2">
      <c r="A159" s="1"/>
      <c r="B159" s="1"/>
    </row>
    <row r="161" spans="1:2" s="53" customFormat="1" ht="14.25" x14ac:dyDescent="0.2">
      <c r="B161" s="48"/>
    </row>
    <row r="162" spans="1:2" x14ac:dyDescent="0.2">
      <c r="A162" s="2"/>
      <c r="B162" s="21"/>
    </row>
    <row r="163" spans="1:2" x14ac:dyDescent="0.2">
      <c r="A163" s="2"/>
      <c r="B163" s="21"/>
    </row>
    <row r="164" spans="1:2" s="39" customFormat="1" ht="13.5" thickBot="1" x14ac:dyDescent="0.25">
      <c r="A164" s="37"/>
      <c r="B164" s="38"/>
    </row>
  </sheetData>
  <phoneticPr fontId="14" type="noConversion"/>
  <hyperlinks>
    <hyperlink ref="C4" location="Пластины!I2" display="Пластины!I2"/>
    <hyperlink ref="C6" location="Бумага!J2" display="Бумага!J2"/>
    <hyperlink ref="C8" location="Краска!I2" display="Краска!I2"/>
    <hyperlink ref="C5" location="Пластины!K2" display="Пластины!K2"/>
    <hyperlink ref="C7" location="'Возв отходы'!G2" display="'Возв отходы'!G2"/>
    <hyperlink ref="C9" location="Химикаты!I18" display="Химикаты!I18"/>
    <hyperlink ref="C11" location="Проволока!F2" display="Проволока!F2"/>
    <hyperlink ref="C12" location="'Скотч и бум'!E2" display="'Скотч и бум'!E2"/>
    <hyperlink ref="C13" location="'Основ зарплата'!G2" display="'Основ зарплата'!G2"/>
    <hyperlink ref="C14" location="'Основ зарплата'!I2" display="'Основ зарплата'!I2"/>
    <hyperlink ref="C15" location="'Парам заказа'!C19" display="'Парам заказа'!C19"/>
    <hyperlink ref="C16" location="'Накл на заказ'!A1" display="'Накл на заказ'!A1"/>
    <hyperlink ref="C17:C22" location="'Накл на заказ'!A1" display="'Накл на заказ'!A1"/>
    <hyperlink ref="C10" location="Резина!I2" display="Резина!I2"/>
  </hyperlinks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workbookViewId="0">
      <selection activeCell="A12" sqref="A12:H12"/>
    </sheetView>
  </sheetViews>
  <sheetFormatPr defaultRowHeight="12.75" x14ac:dyDescent="0.2"/>
  <cols>
    <col min="1" max="1" width="7.140625" style="43" customWidth="1"/>
    <col min="2" max="2" width="26.5703125" style="43" customWidth="1"/>
    <col min="3" max="3" width="7.7109375" style="43" customWidth="1"/>
    <col min="4" max="4" width="4.28515625" style="107" customWidth="1"/>
    <col min="5" max="5" width="8" style="107" customWidth="1"/>
    <col min="6" max="6" width="11.42578125" style="107" customWidth="1"/>
    <col min="7" max="8" width="11.7109375" style="107" customWidth="1"/>
    <col min="9" max="9" width="12.42578125" style="107" customWidth="1"/>
    <col min="10" max="11" width="15.5703125" style="107" customWidth="1"/>
    <col min="12" max="36" width="6.28515625" style="107" customWidth="1"/>
    <col min="37" max="16384" width="9.140625" style="107"/>
  </cols>
  <sheetData>
    <row r="1" spans="1:33" s="21" customFormat="1" ht="25.5" x14ac:dyDescent="0.2">
      <c r="A1" s="118" t="s">
        <v>72</v>
      </c>
      <c r="B1" s="119" t="s">
        <v>349</v>
      </c>
      <c r="C1" s="256" t="s">
        <v>351</v>
      </c>
      <c r="D1" s="256"/>
      <c r="E1" s="256"/>
      <c r="F1" s="119" t="s">
        <v>315</v>
      </c>
      <c r="G1" s="119" t="s">
        <v>350</v>
      </c>
      <c r="H1" s="119" t="s">
        <v>71</v>
      </c>
      <c r="I1" s="120" t="s">
        <v>361</v>
      </c>
      <c r="J1" s="120" t="s">
        <v>360</v>
      </c>
      <c r="K1" s="120" t="s">
        <v>362</v>
      </c>
    </row>
    <row r="2" spans="1:33" x14ac:dyDescent="0.2">
      <c r="A2" s="76" t="s">
        <v>76</v>
      </c>
      <c r="B2" s="112" t="str">
        <f>VLOOKUP(A2,Справочники!$A:$B,2,FALSE)</f>
        <v>Пластины</v>
      </c>
      <c r="C2" s="112" t="s">
        <v>79</v>
      </c>
      <c r="D2" s="112"/>
      <c r="E2" s="125" t="s">
        <v>79</v>
      </c>
      <c r="F2" s="112" t="s">
        <v>79</v>
      </c>
      <c r="G2" s="71">
        <f>SUM(G3:G8)</f>
        <v>3.7049999999999996</v>
      </c>
      <c r="H2" s="112" t="s">
        <v>79</v>
      </c>
      <c r="I2" s="113">
        <f>SUM(I3:I8)</f>
        <v>60</v>
      </c>
      <c r="J2" s="113"/>
      <c r="K2" s="113">
        <f>SUM(K3:K8)</f>
        <v>1.2</v>
      </c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x14ac:dyDescent="0.2">
      <c r="A3" s="82" t="s">
        <v>205</v>
      </c>
      <c r="B3" s="93" t="str">
        <f>VLOOKUP(A3,Справочники!$A:$B,2,FALSE)</f>
        <v>Термальные пластины</v>
      </c>
      <c r="C3" s="122">
        <v>0.65</v>
      </c>
      <c r="D3" s="126" t="s">
        <v>61</v>
      </c>
      <c r="E3" s="122">
        <v>0.95</v>
      </c>
      <c r="F3" s="122">
        <v>6</v>
      </c>
      <c r="G3" s="121">
        <f t="shared" ref="G3:G8" si="0">C3*E3*F3</f>
        <v>3.7049999999999996</v>
      </c>
      <c r="H3" s="93">
        <f>SUMIF(Цены!A$2:A$200,A3,Цены!D$2:D$200)</f>
        <v>10</v>
      </c>
      <c r="I3" s="114">
        <f t="shared" ref="I3:I8" si="1">F3*H3</f>
        <v>60</v>
      </c>
      <c r="J3" s="180">
        <f>Нормы!$F$11</f>
        <v>0.02</v>
      </c>
      <c r="K3" s="114">
        <f t="shared" ref="K3:K8" si="2">I3*J3</f>
        <v>1.2</v>
      </c>
    </row>
    <row r="4" spans="1:33" x14ac:dyDescent="0.2">
      <c r="A4" s="82"/>
      <c r="B4" s="93" t="e">
        <f>VLOOKUP(A4,Справочники!$A:$B,2,FALSE)</f>
        <v>#N/A</v>
      </c>
      <c r="C4" s="122"/>
      <c r="D4" s="126" t="s">
        <v>61</v>
      </c>
      <c r="E4" s="122"/>
      <c r="F4" s="122"/>
      <c r="G4" s="121">
        <f t="shared" si="0"/>
        <v>0</v>
      </c>
      <c r="H4" s="93">
        <f>SUMIF(Цены!A$2:A$200,A4,Цены!D$2:D$200)</f>
        <v>0</v>
      </c>
      <c r="I4" s="114">
        <f t="shared" si="1"/>
        <v>0</v>
      </c>
      <c r="J4" s="180">
        <f>Нормы!$F$11</f>
        <v>0.02</v>
      </c>
      <c r="K4" s="114">
        <f t="shared" si="2"/>
        <v>0</v>
      </c>
    </row>
    <row r="5" spans="1:33" x14ac:dyDescent="0.2">
      <c r="A5" s="82"/>
      <c r="B5" s="93" t="e">
        <f>VLOOKUP(A5,Справочники!$A:$B,2,FALSE)</f>
        <v>#N/A</v>
      </c>
      <c r="C5" s="122"/>
      <c r="D5" s="126" t="s">
        <v>61</v>
      </c>
      <c r="E5" s="122"/>
      <c r="F5" s="122"/>
      <c r="G5" s="121">
        <f t="shared" si="0"/>
        <v>0</v>
      </c>
      <c r="H5" s="93">
        <f>SUMIF(Цены!A$2:A$200,A5,Цены!D$2:D$200)</f>
        <v>0</v>
      </c>
      <c r="I5" s="114">
        <f t="shared" si="1"/>
        <v>0</v>
      </c>
      <c r="J5" s="180">
        <f>Нормы!$F$11</f>
        <v>0.02</v>
      </c>
      <c r="K5" s="114">
        <f t="shared" si="2"/>
        <v>0</v>
      </c>
    </row>
    <row r="6" spans="1:33" x14ac:dyDescent="0.2">
      <c r="A6" s="82"/>
      <c r="B6" s="93" t="e">
        <f>VLOOKUP(A6,Справочники!$A:$B,2,FALSE)</f>
        <v>#N/A</v>
      </c>
      <c r="C6" s="122"/>
      <c r="D6" s="126" t="s">
        <v>61</v>
      </c>
      <c r="E6" s="122"/>
      <c r="F6" s="122"/>
      <c r="G6" s="121">
        <f t="shared" si="0"/>
        <v>0</v>
      </c>
      <c r="H6" s="93">
        <f>SUMIF(Цены!A$2:A$200,A6,Цены!D$2:D$200)</f>
        <v>0</v>
      </c>
      <c r="I6" s="114">
        <f t="shared" si="1"/>
        <v>0</v>
      </c>
      <c r="J6" s="180">
        <f>Нормы!$F$11</f>
        <v>0.02</v>
      </c>
      <c r="K6" s="114">
        <f t="shared" si="2"/>
        <v>0</v>
      </c>
    </row>
    <row r="7" spans="1:33" x14ac:dyDescent="0.2">
      <c r="A7" s="82"/>
      <c r="B7" s="93" t="e">
        <f>VLOOKUP(A7,Справочники!$A:$B,2,FALSE)</f>
        <v>#N/A</v>
      </c>
      <c r="C7" s="122"/>
      <c r="D7" s="126" t="s">
        <v>61</v>
      </c>
      <c r="E7" s="122"/>
      <c r="F7" s="122"/>
      <c r="G7" s="121">
        <f t="shared" si="0"/>
        <v>0</v>
      </c>
      <c r="H7" s="93">
        <f>SUMIF(Цены!A$2:A$200,A7,Цены!D$2:D$200)</f>
        <v>0</v>
      </c>
      <c r="I7" s="114">
        <f t="shared" si="1"/>
        <v>0</v>
      </c>
      <c r="J7" s="180">
        <f>Нормы!$F$11</f>
        <v>0.02</v>
      </c>
      <c r="K7" s="114">
        <f t="shared" si="2"/>
        <v>0</v>
      </c>
    </row>
    <row r="8" spans="1:33" x14ac:dyDescent="0.2">
      <c r="A8" s="117"/>
      <c r="B8" s="115" t="e">
        <f>VLOOKUP(A8,Справочники!$A:$B,2,FALSE)</f>
        <v>#N/A</v>
      </c>
      <c r="C8" s="123"/>
      <c r="D8" s="127" t="s">
        <v>61</v>
      </c>
      <c r="E8" s="123"/>
      <c r="F8" s="123"/>
      <c r="G8" s="124">
        <f t="shared" si="0"/>
        <v>0</v>
      </c>
      <c r="H8" s="115">
        <f>SUMIF(Цены!A$2:A$200,A8,Цены!D$2:D$200)</f>
        <v>0</v>
      </c>
      <c r="I8" s="116">
        <f t="shared" si="1"/>
        <v>0</v>
      </c>
      <c r="J8" s="181">
        <f>Нормы!$F$11</f>
        <v>0.02</v>
      </c>
      <c r="K8" s="116">
        <f t="shared" si="2"/>
        <v>0</v>
      </c>
    </row>
    <row r="10" spans="1:33" ht="15" x14ac:dyDescent="0.2">
      <c r="A10" s="257" t="s">
        <v>429</v>
      </c>
      <c r="B10" s="257"/>
      <c r="C10" s="257"/>
      <c r="D10" s="257"/>
      <c r="E10" s="257"/>
      <c r="F10" s="257"/>
      <c r="G10" s="257"/>
      <c r="H10" s="257"/>
    </row>
    <row r="11" spans="1:33" x14ac:dyDescent="0.2">
      <c r="A11" s="244"/>
      <c r="B11" s="244"/>
      <c r="C11" s="244"/>
      <c r="D11" s="244"/>
      <c r="E11" s="244"/>
      <c r="F11" s="244"/>
      <c r="G11" s="244"/>
      <c r="H11" s="244"/>
    </row>
    <row r="12" spans="1:33" ht="15" x14ac:dyDescent="0.2">
      <c r="A12" s="257" t="s">
        <v>430</v>
      </c>
      <c r="B12" s="257"/>
      <c r="C12" s="257"/>
      <c r="D12" s="257"/>
      <c r="E12" s="257"/>
      <c r="F12" s="257"/>
      <c r="G12" s="257"/>
      <c r="H12" s="257"/>
    </row>
  </sheetData>
  <mergeCells count="3">
    <mergeCell ref="C1:E1"/>
    <mergeCell ref="A10:H10"/>
    <mergeCell ref="A12:H12"/>
  </mergeCells>
  <phoneticPr fontId="14" type="noConversion"/>
  <hyperlinks>
    <hyperlink ref="A10:H10" location="'Парам заказа'!A1" display="Вернуться в параметры заказа"/>
    <hyperlink ref="A12:H12" location="Калькуляция!A1" display="Вернуться в калькуляцию"/>
  </hyperlink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workbookViewId="0">
      <selection activeCell="A12" sqref="A12:H12"/>
    </sheetView>
  </sheetViews>
  <sheetFormatPr defaultRowHeight="12.75" x14ac:dyDescent="0.2"/>
  <cols>
    <col min="1" max="1" width="7.140625" style="43" customWidth="1"/>
    <col min="2" max="2" width="38.42578125" style="43" customWidth="1"/>
    <col min="3" max="3" width="9.7109375" style="43" customWidth="1"/>
    <col min="4" max="4" width="7.140625" style="43" customWidth="1"/>
    <col min="5" max="5" width="4.28515625" style="107" customWidth="1"/>
    <col min="6" max="6" width="6.7109375" style="107" customWidth="1"/>
    <col min="7" max="7" width="11.7109375" style="107" customWidth="1"/>
    <col min="8" max="8" width="13.7109375" style="107" customWidth="1"/>
    <col min="9" max="9" width="13.42578125" style="107" customWidth="1"/>
    <col min="10" max="10" width="12.42578125" style="107" customWidth="1"/>
    <col min="11" max="11" width="11.85546875" style="107" customWidth="1"/>
    <col min="12" max="37" width="6.28515625" style="107" customWidth="1"/>
    <col min="38" max="16384" width="9.140625" style="107"/>
  </cols>
  <sheetData>
    <row r="1" spans="1:34" s="58" customFormat="1" ht="25.5" x14ac:dyDescent="0.2">
      <c r="A1" s="118" t="s">
        <v>72</v>
      </c>
      <c r="B1" s="119" t="s">
        <v>352</v>
      </c>
      <c r="C1" s="119" t="s">
        <v>88</v>
      </c>
      <c r="D1" s="256" t="s">
        <v>351</v>
      </c>
      <c r="E1" s="256"/>
      <c r="F1" s="256"/>
      <c r="G1" s="119" t="s">
        <v>58</v>
      </c>
      <c r="H1" s="119" t="s">
        <v>320</v>
      </c>
      <c r="I1" s="119" t="s">
        <v>59</v>
      </c>
      <c r="J1" s="120" t="s">
        <v>311</v>
      </c>
    </row>
    <row r="2" spans="1:34" x14ac:dyDescent="0.2">
      <c r="A2" s="133" t="s">
        <v>124</v>
      </c>
      <c r="B2" s="112" t="str">
        <f>VLOOKUP(A2,Справочники!$A:$B,2,FALSE)</f>
        <v>Бумага</v>
      </c>
      <c r="C2" s="112"/>
      <c r="D2" s="111" t="s">
        <v>79</v>
      </c>
      <c r="E2" s="111"/>
      <c r="F2" s="189" t="s">
        <v>79</v>
      </c>
      <c r="G2" s="111" t="s">
        <v>79</v>
      </c>
      <c r="H2" s="252">
        <f>SUM(H3:H8)</f>
        <v>4</v>
      </c>
      <c r="I2" s="111" t="s">
        <v>79</v>
      </c>
      <c r="J2" s="251">
        <f>SUM(J3:J8)</f>
        <v>250</v>
      </c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 x14ac:dyDescent="0.2">
      <c r="A3" s="128" t="s">
        <v>213</v>
      </c>
      <c r="B3" s="93" t="str">
        <f>VLOOKUP(A3,Справочники!$A:$B,2,FALSE)</f>
        <v>Бумага мелованная матовая / плотность 080</v>
      </c>
      <c r="C3" s="110" t="str">
        <f t="shared" ref="C3:C8" si="0">RIGHT(B3,3)</f>
        <v>080</v>
      </c>
      <c r="D3" s="253">
        <v>1</v>
      </c>
      <c r="E3" s="126" t="s">
        <v>61</v>
      </c>
      <c r="F3" s="253">
        <v>1</v>
      </c>
      <c r="G3" s="131">
        <v>50</v>
      </c>
      <c r="H3" s="126">
        <f>D3*F3*G3*C3/1000</f>
        <v>4</v>
      </c>
      <c r="I3" s="110">
        <f>SUMIF(Цены!A$2:A$200,A3,Цены!D$2:D$200)</f>
        <v>5</v>
      </c>
      <c r="J3" s="137">
        <f t="shared" ref="J3:J8" si="1">G3*I3</f>
        <v>250</v>
      </c>
    </row>
    <row r="4" spans="1:34" x14ac:dyDescent="0.2">
      <c r="A4" s="128" t="s">
        <v>214</v>
      </c>
      <c r="B4" s="93" t="str">
        <f>VLOOKUP(A4,Справочники!$A:$B,2,FALSE)</f>
        <v>Бумага мелованная матовая / плотность 150</v>
      </c>
      <c r="C4" s="110" t="str">
        <f t="shared" si="0"/>
        <v>150</v>
      </c>
      <c r="D4" s="253"/>
      <c r="E4" s="126" t="s">
        <v>61</v>
      </c>
      <c r="F4" s="253"/>
      <c r="G4" s="131"/>
      <c r="H4" s="126">
        <f>D4*F4*G4</f>
        <v>0</v>
      </c>
      <c r="I4" s="110">
        <f>SUMIF(Цены!A$2:A$200,A4,Цены!D$2:D$200)</f>
        <v>5</v>
      </c>
      <c r="J4" s="137">
        <f t="shared" si="1"/>
        <v>0</v>
      </c>
    </row>
    <row r="5" spans="1:34" x14ac:dyDescent="0.2">
      <c r="A5" s="128"/>
      <c r="B5" s="93" t="e">
        <f>VLOOKUP(A5,Справочники!$A:$B,2,FALSE)</f>
        <v>#N/A</v>
      </c>
      <c r="C5" s="110" t="e">
        <f t="shared" si="0"/>
        <v>#N/A</v>
      </c>
      <c r="D5" s="253"/>
      <c r="E5" s="126" t="s">
        <v>61</v>
      </c>
      <c r="F5" s="253"/>
      <c r="G5" s="131"/>
      <c r="H5" s="126">
        <f>D5*F5*G5</f>
        <v>0</v>
      </c>
      <c r="I5" s="110">
        <f>SUMIF(Цены!A$2:A$200,A5,Цены!D$2:D$200)</f>
        <v>0</v>
      </c>
      <c r="J5" s="137">
        <f t="shared" si="1"/>
        <v>0</v>
      </c>
    </row>
    <row r="6" spans="1:34" x14ac:dyDescent="0.2">
      <c r="A6" s="128"/>
      <c r="B6" s="93" t="e">
        <f>VLOOKUP(A6,Справочники!$A:$B,2,FALSE)</f>
        <v>#N/A</v>
      </c>
      <c r="C6" s="110" t="e">
        <f t="shared" si="0"/>
        <v>#N/A</v>
      </c>
      <c r="D6" s="253"/>
      <c r="E6" s="126" t="s">
        <v>61</v>
      </c>
      <c r="F6" s="253"/>
      <c r="G6" s="131"/>
      <c r="H6" s="126">
        <f>D6*F6*G6</f>
        <v>0</v>
      </c>
      <c r="I6" s="110">
        <f>SUMIF(Цены!A$2:A$200,A6,Цены!D$2:D$200)</f>
        <v>0</v>
      </c>
      <c r="J6" s="137">
        <f t="shared" si="1"/>
        <v>0</v>
      </c>
    </row>
    <row r="7" spans="1:34" x14ac:dyDescent="0.2">
      <c r="A7" s="128"/>
      <c r="B7" s="93" t="e">
        <f>VLOOKUP(A7,Справочники!$A:$B,2,FALSE)</f>
        <v>#N/A</v>
      </c>
      <c r="C7" s="110" t="e">
        <f t="shared" si="0"/>
        <v>#N/A</v>
      </c>
      <c r="D7" s="253"/>
      <c r="E7" s="126" t="s">
        <v>61</v>
      </c>
      <c r="F7" s="253"/>
      <c r="G7" s="131"/>
      <c r="H7" s="126">
        <f>D7*F7*G7</f>
        <v>0</v>
      </c>
      <c r="I7" s="110">
        <f>SUMIF(Цены!A$2:A$200,A7,Цены!D$2:D$200)</f>
        <v>0</v>
      </c>
      <c r="J7" s="137">
        <f t="shared" si="1"/>
        <v>0</v>
      </c>
    </row>
    <row r="8" spans="1:34" x14ac:dyDescent="0.2">
      <c r="A8" s="129"/>
      <c r="B8" s="115" t="e">
        <f>VLOOKUP(A8,Справочники!$A:$B,2,FALSE)</f>
        <v>#N/A</v>
      </c>
      <c r="C8" s="130" t="e">
        <f t="shared" si="0"/>
        <v>#N/A</v>
      </c>
      <c r="D8" s="254"/>
      <c r="E8" s="127" t="s">
        <v>61</v>
      </c>
      <c r="F8" s="254"/>
      <c r="G8" s="132"/>
      <c r="H8" s="127">
        <f>D8*F8*G8</f>
        <v>0</v>
      </c>
      <c r="I8" s="130">
        <f>SUMIF(Цены!A$2:A$200,A8,Цены!D$2:D$200)</f>
        <v>0</v>
      </c>
      <c r="J8" s="138">
        <f t="shared" si="1"/>
        <v>0</v>
      </c>
    </row>
    <row r="10" spans="1:34" ht="15" x14ac:dyDescent="0.2">
      <c r="A10" s="257" t="s">
        <v>429</v>
      </c>
      <c r="B10" s="257"/>
      <c r="C10" s="257"/>
      <c r="D10" s="257"/>
      <c r="E10" s="257"/>
      <c r="F10" s="257"/>
      <c r="G10" s="257"/>
      <c r="H10" s="257"/>
    </row>
    <row r="11" spans="1:34" x14ac:dyDescent="0.2">
      <c r="A11" s="244"/>
      <c r="B11" s="244"/>
      <c r="C11" s="244"/>
      <c r="D11" s="244"/>
      <c r="E11" s="244"/>
      <c r="F11" s="244"/>
      <c r="G11" s="244"/>
      <c r="H11" s="244"/>
    </row>
    <row r="12" spans="1:34" ht="15" x14ac:dyDescent="0.2">
      <c r="A12" s="257" t="s">
        <v>430</v>
      </c>
      <c r="B12" s="257"/>
      <c r="C12" s="257"/>
      <c r="D12" s="257"/>
      <c r="E12" s="257"/>
      <c r="F12" s="257"/>
      <c r="G12" s="257"/>
      <c r="H12" s="257"/>
    </row>
  </sheetData>
  <mergeCells count="3">
    <mergeCell ref="D1:F1"/>
    <mergeCell ref="A10:H10"/>
    <mergeCell ref="A12:H12"/>
  </mergeCells>
  <phoneticPr fontId="14" type="noConversion"/>
  <hyperlinks>
    <hyperlink ref="A10:H10" location="'Парам заказа'!A1" display="Вернуться в параметры заказа"/>
    <hyperlink ref="A12:H12" location="Калькуляция!A1" display="Вернуться в калькуляцию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workbookViewId="0">
      <selection activeCell="A29" sqref="A29:H29"/>
    </sheetView>
  </sheetViews>
  <sheetFormatPr defaultRowHeight="12.75" x14ac:dyDescent="0.2"/>
  <cols>
    <col min="1" max="1" width="10" style="107" bestFit="1" customWidth="1"/>
    <col min="2" max="2" width="9" style="107" bestFit="1" customWidth="1"/>
    <col min="3" max="3" width="7.140625" style="43" customWidth="1"/>
    <col min="4" max="4" width="38.42578125" style="43" customWidth="1"/>
    <col min="5" max="5" width="16.42578125" style="43" customWidth="1"/>
    <col min="6" max="6" width="17.85546875" style="43" customWidth="1"/>
    <col min="7" max="9" width="16.42578125" style="43" customWidth="1"/>
    <col min="10" max="10" width="11.85546875" style="107" customWidth="1"/>
    <col min="11" max="36" width="6.28515625" style="107" customWidth="1"/>
    <col min="37" max="16384" width="9.140625" style="107"/>
  </cols>
  <sheetData>
    <row r="1" spans="1:33" s="58" customFormat="1" ht="25.5" x14ac:dyDescent="0.2">
      <c r="A1" s="118" t="s">
        <v>356</v>
      </c>
      <c r="B1" s="118" t="s">
        <v>327</v>
      </c>
      <c r="C1" s="118" t="s">
        <v>357</v>
      </c>
      <c r="D1" s="119" t="s">
        <v>354</v>
      </c>
      <c r="E1" s="119" t="s">
        <v>338</v>
      </c>
      <c r="F1" s="119" t="s">
        <v>355</v>
      </c>
      <c r="G1" s="119" t="s">
        <v>320</v>
      </c>
      <c r="H1" s="119" t="s">
        <v>59</v>
      </c>
      <c r="I1" s="120" t="s">
        <v>311</v>
      </c>
    </row>
    <row r="2" spans="1:33" ht="15.75" x14ac:dyDescent="0.25">
      <c r="A2" s="133" t="str">
        <f>CONCATENATE(B2,C2)</f>
        <v>Ц_21.5</v>
      </c>
      <c r="B2" s="133" t="str">
        <f>'Парам заказа'!A8</f>
        <v>Ц_2</v>
      </c>
      <c r="C2" s="133" t="s">
        <v>167</v>
      </c>
      <c r="D2" s="112" t="str">
        <f>VLOOKUP(C2,Справочники!$A:$B,2,FALSE)</f>
        <v>Краска и лак</v>
      </c>
      <c r="E2" s="111">
        <f>SUM(E3,E15)</f>
        <v>150</v>
      </c>
      <c r="F2" s="111" t="s">
        <v>79</v>
      </c>
      <c r="G2" s="111">
        <f>SUM(G3,G15)</f>
        <v>20</v>
      </c>
      <c r="H2" s="111" t="s">
        <v>79</v>
      </c>
      <c r="I2" s="139">
        <f>SUM(I3,I15)</f>
        <v>0.60000000000000009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x14ac:dyDescent="0.2">
      <c r="A3" s="245" t="str">
        <f>CONCATENATE(B3,C3)</f>
        <v>Ц_2</v>
      </c>
      <c r="B3" s="245" t="str">
        <f>B2</f>
        <v>Ц_2</v>
      </c>
      <c r="C3" s="136"/>
      <c r="D3" s="77" t="s">
        <v>341</v>
      </c>
      <c r="E3" s="111">
        <f>SUM(E4:E14)</f>
        <v>100</v>
      </c>
      <c r="F3" s="111" t="s">
        <v>79</v>
      </c>
      <c r="G3" s="111">
        <f>SUM(G4:G14)</f>
        <v>20</v>
      </c>
      <c r="H3" s="111" t="s">
        <v>79</v>
      </c>
      <c r="I3" s="106">
        <f>SUM(I4:I14)</f>
        <v>0.60000000000000009</v>
      </c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33" x14ac:dyDescent="0.2">
      <c r="A4" s="128" t="str">
        <f>CONCATENATE(B4,C4)</f>
        <v>Ц_2К_1.3</v>
      </c>
      <c r="B4" s="128" t="str">
        <f>B3</f>
        <v>Ц_2</v>
      </c>
      <c r="C4" s="128" t="s">
        <v>248</v>
      </c>
      <c r="D4" s="93" t="str">
        <f>VLOOKUP(C4,Справочники!$A:$B,2,FALSE)</f>
        <v>Понтоны металлизированные</v>
      </c>
      <c r="E4" s="131">
        <v>100</v>
      </c>
      <c r="F4" s="110">
        <f>SUMIF(Нормы!A$2:A$310,A4,Нормы!F$2:F$310)</f>
        <v>0.2</v>
      </c>
      <c r="G4" s="126">
        <f>E4*F4</f>
        <v>20</v>
      </c>
      <c r="H4" s="110">
        <f>SUMIF(Цены!A$2:A$200,C4,Цены!D$2:D$200)</f>
        <v>3</v>
      </c>
      <c r="I4" s="137">
        <f>F4*H4</f>
        <v>0.60000000000000009</v>
      </c>
    </row>
    <row r="5" spans="1:33" x14ac:dyDescent="0.2">
      <c r="A5" s="128" t="str">
        <f>CONCATENATE(B5,C5)</f>
        <v>Ц_2</v>
      </c>
      <c r="B5" s="128" t="str">
        <f>B4</f>
        <v>Ц_2</v>
      </c>
      <c r="C5" s="128"/>
      <c r="D5" s="134" t="e">
        <f>VLOOKUP(C5,Справочники!$A:$B,2,FALSE)</f>
        <v>#N/A</v>
      </c>
      <c r="E5" s="131"/>
      <c r="F5" s="110">
        <f>SUMIF(Нормы!A$2:A$310,A5,Нормы!F$2:F$310)</f>
        <v>0</v>
      </c>
      <c r="G5" s="126">
        <f t="shared" ref="G5:G25" si="0">E5*F5</f>
        <v>0</v>
      </c>
      <c r="H5" s="110">
        <f>SUMIF(Цены!A$2:A$200,C5,Цены!D$2:D$200)</f>
        <v>0</v>
      </c>
      <c r="I5" s="137">
        <f t="shared" ref="I5:I24" si="1">F5*H5</f>
        <v>0</v>
      </c>
    </row>
    <row r="6" spans="1:33" x14ac:dyDescent="0.2">
      <c r="A6" s="128" t="str">
        <f t="shared" ref="A6:A22" si="2">CONCATENATE(B6,C6)</f>
        <v>Ц_2</v>
      </c>
      <c r="B6" s="128" t="str">
        <f t="shared" ref="B6:B22" si="3">B5</f>
        <v>Ц_2</v>
      </c>
      <c r="C6" s="128"/>
      <c r="D6" s="134" t="e">
        <f>VLOOKUP(C6,Справочники!$A:$B,2,FALSE)</f>
        <v>#N/A</v>
      </c>
      <c r="E6" s="131"/>
      <c r="F6" s="110">
        <f>SUMIF(Нормы!A$2:A$310,A6,Нормы!F$2:F$310)</f>
        <v>0</v>
      </c>
      <c r="G6" s="126">
        <f t="shared" si="0"/>
        <v>0</v>
      </c>
      <c r="H6" s="110">
        <f>SUMIF(Цены!A$2:A$200,C6,Цены!D$2:D$200)</f>
        <v>0</v>
      </c>
      <c r="I6" s="137">
        <f t="shared" si="1"/>
        <v>0</v>
      </c>
    </row>
    <row r="7" spans="1:33" x14ac:dyDescent="0.2">
      <c r="A7" s="128" t="str">
        <f t="shared" si="2"/>
        <v>Ц_2</v>
      </c>
      <c r="B7" s="128" t="str">
        <f t="shared" si="3"/>
        <v>Ц_2</v>
      </c>
      <c r="C7" s="128"/>
      <c r="D7" s="134" t="e">
        <f>VLOOKUP(C7,Справочники!$A:$B,2,FALSE)</f>
        <v>#N/A</v>
      </c>
      <c r="E7" s="131"/>
      <c r="F7" s="110">
        <f>SUMIF(Нормы!A$2:A$310,A7,Нормы!F$2:F$310)</f>
        <v>0</v>
      </c>
      <c r="G7" s="126">
        <f t="shared" si="0"/>
        <v>0</v>
      </c>
      <c r="H7" s="110">
        <f>SUMIF(Цены!A$2:A$200,C7,Цены!D$2:D$200)</f>
        <v>0</v>
      </c>
      <c r="I7" s="137">
        <f t="shared" si="1"/>
        <v>0</v>
      </c>
    </row>
    <row r="8" spans="1:33" x14ac:dyDescent="0.2">
      <c r="A8" s="128" t="str">
        <f t="shared" si="2"/>
        <v>Ц_2</v>
      </c>
      <c r="B8" s="128" t="str">
        <f t="shared" si="3"/>
        <v>Ц_2</v>
      </c>
      <c r="C8" s="128"/>
      <c r="D8" s="134" t="e">
        <f>VLOOKUP(C8,Справочники!$A:$B,2,FALSE)</f>
        <v>#N/A</v>
      </c>
      <c r="E8" s="131"/>
      <c r="F8" s="110">
        <f>SUMIF(Нормы!A$2:A$310,A8,Нормы!F$2:F$310)</f>
        <v>0</v>
      </c>
      <c r="G8" s="126">
        <f t="shared" si="0"/>
        <v>0</v>
      </c>
      <c r="H8" s="110">
        <f>SUMIF(Цены!A$2:A$200,C8,Цены!D$2:D$200)</f>
        <v>0</v>
      </c>
      <c r="I8" s="137">
        <f t="shared" si="1"/>
        <v>0</v>
      </c>
    </row>
    <row r="9" spans="1:33" x14ac:dyDescent="0.2">
      <c r="A9" s="128" t="str">
        <f t="shared" si="2"/>
        <v>Ц_2</v>
      </c>
      <c r="B9" s="128" t="str">
        <f t="shared" si="3"/>
        <v>Ц_2</v>
      </c>
      <c r="C9" s="128"/>
      <c r="D9" s="134" t="e">
        <f>VLOOKUP(C9,Справочники!$A:$B,2,FALSE)</f>
        <v>#N/A</v>
      </c>
      <c r="E9" s="131"/>
      <c r="F9" s="110">
        <f>SUMIF(Нормы!A$2:A$310,A9,Нормы!F$2:F$310)</f>
        <v>0</v>
      </c>
      <c r="G9" s="126">
        <f t="shared" si="0"/>
        <v>0</v>
      </c>
      <c r="H9" s="110">
        <f>SUMIF(Цены!A$2:A$200,C9,Цены!D$2:D$200)</f>
        <v>0</v>
      </c>
      <c r="I9" s="137">
        <f t="shared" si="1"/>
        <v>0</v>
      </c>
    </row>
    <row r="10" spans="1:33" x14ac:dyDescent="0.2">
      <c r="A10" s="128" t="str">
        <f t="shared" si="2"/>
        <v>Ц_2</v>
      </c>
      <c r="B10" s="128" t="str">
        <f t="shared" si="3"/>
        <v>Ц_2</v>
      </c>
      <c r="C10" s="128"/>
      <c r="D10" s="134" t="e">
        <f>VLOOKUP(C10,Справочники!$A:$B,2,FALSE)</f>
        <v>#N/A</v>
      </c>
      <c r="E10" s="131"/>
      <c r="F10" s="110">
        <f>SUMIF(Нормы!A$2:A$310,A10,Нормы!F$2:F$310)</f>
        <v>0</v>
      </c>
      <c r="G10" s="126">
        <f t="shared" si="0"/>
        <v>0</v>
      </c>
      <c r="H10" s="110">
        <f>SUMIF(Цены!A$2:A$200,C10,Цены!D$2:D$200)</f>
        <v>0</v>
      </c>
      <c r="I10" s="137">
        <f t="shared" si="1"/>
        <v>0</v>
      </c>
    </row>
    <row r="11" spans="1:33" x14ac:dyDescent="0.2">
      <c r="A11" s="128" t="str">
        <f t="shared" si="2"/>
        <v>Ц_2</v>
      </c>
      <c r="B11" s="128" t="str">
        <f t="shared" si="3"/>
        <v>Ц_2</v>
      </c>
      <c r="C11" s="128"/>
      <c r="D11" s="134" t="e">
        <f>VLOOKUP(C11,Справочники!$A:$B,2,FALSE)</f>
        <v>#N/A</v>
      </c>
      <c r="E11" s="131"/>
      <c r="F11" s="110">
        <f>SUMIF(Нормы!A$2:A$310,A11,Нормы!F$2:F$310)</f>
        <v>0</v>
      </c>
      <c r="G11" s="126">
        <f t="shared" si="0"/>
        <v>0</v>
      </c>
      <c r="H11" s="110">
        <f>SUMIF(Цены!A$2:A$200,C11,Цены!D$2:D$200)</f>
        <v>0</v>
      </c>
      <c r="I11" s="137">
        <f t="shared" si="1"/>
        <v>0</v>
      </c>
    </row>
    <row r="12" spans="1:33" x14ac:dyDescent="0.2">
      <c r="A12" s="128" t="str">
        <f t="shared" si="2"/>
        <v>Ц_2</v>
      </c>
      <c r="B12" s="128" t="str">
        <f t="shared" si="3"/>
        <v>Ц_2</v>
      </c>
      <c r="C12" s="128"/>
      <c r="D12" s="134" t="e">
        <f>VLOOKUP(C12,Справочники!$A:$B,2,FALSE)</f>
        <v>#N/A</v>
      </c>
      <c r="E12" s="131"/>
      <c r="F12" s="110">
        <f>SUMIF(Нормы!A$2:A$310,A12,Нормы!F$2:F$310)</f>
        <v>0</v>
      </c>
      <c r="G12" s="126">
        <f t="shared" si="0"/>
        <v>0</v>
      </c>
      <c r="H12" s="110">
        <f>SUMIF(Цены!A$2:A$200,C12,Цены!D$2:D$200)</f>
        <v>0</v>
      </c>
      <c r="I12" s="137">
        <f t="shared" si="1"/>
        <v>0</v>
      </c>
    </row>
    <row r="13" spans="1:33" x14ac:dyDescent="0.2">
      <c r="A13" s="128" t="str">
        <f t="shared" si="2"/>
        <v>Ц_2</v>
      </c>
      <c r="B13" s="128" t="str">
        <f t="shared" si="3"/>
        <v>Ц_2</v>
      </c>
      <c r="C13" s="128"/>
      <c r="D13" s="134" t="e">
        <f>VLOOKUP(C13,Справочники!$A:$B,2,FALSE)</f>
        <v>#N/A</v>
      </c>
      <c r="E13" s="131"/>
      <c r="F13" s="110">
        <f>SUMIF(Нормы!A$2:A$310,A13,Нормы!F$2:F$310)</f>
        <v>0</v>
      </c>
      <c r="G13" s="126">
        <f t="shared" si="0"/>
        <v>0</v>
      </c>
      <c r="H13" s="110">
        <f>SUMIF(Цены!A$2:A$200,C13,Цены!D$2:D$200)</f>
        <v>0</v>
      </c>
      <c r="I13" s="137">
        <f t="shared" si="1"/>
        <v>0</v>
      </c>
    </row>
    <row r="14" spans="1:33" x14ac:dyDescent="0.2">
      <c r="A14" s="128" t="str">
        <f t="shared" si="2"/>
        <v>Ц_2</v>
      </c>
      <c r="B14" s="128" t="str">
        <f t="shared" si="3"/>
        <v>Ц_2</v>
      </c>
      <c r="C14" s="128"/>
      <c r="D14" s="134" t="e">
        <f>VLOOKUP(C14,Справочники!$A:$B,2,FALSE)</f>
        <v>#N/A</v>
      </c>
      <c r="E14" s="131"/>
      <c r="F14" s="110">
        <f>SUMIF(Нормы!A$2:A$310,A14,Нормы!F$2:F$310)</f>
        <v>0</v>
      </c>
      <c r="G14" s="126">
        <f t="shared" si="0"/>
        <v>0</v>
      </c>
      <c r="H14" s="110">
        <f>SUMIF(Цены!A$2:A$200,C14,Цены!D$2:D$200)</f>
        <v>0</v>
      </c>
      <c r="I14" s="137">
        <f t="shared" si="1"/>
        <v>0</v>
      </c>
    </row>
    <row r="15" spans="1:33" x14ac:dyDescent="0.2">
      <c r="A15" s="245" t="str">
        <f t="shared" si="2"/>
        <v>Ц_2</v>
      </c>
      <c r="B15" s="245" t="str">
        <f t="shared" si="3"/>
        <v>Ц_2</v>
      </c>
      <c r="C15" s="136"/>
      <c r="D15" s="77" t="s">
        <v>342</v>
      </c>
      <c r="E15" s="111">
        <f>SUM(E16:E25)</f>
        <v>50</v>
      </c>
      <c r="F15" s="111" t="s">
        <v>79</v>
      </c>
      <c r="G15" s="111">
        <f>SUM(G16:G25)</f>
        <v>0</v>
      </c>
      <c r="H15" s="111" t="s">
        <v>79</v>
      </c>
      <c r="I15" s="106">
        <f>SUM(I16:I25)</f>
        <v>0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</row>
    <row r="16" spans="1:33" x14ac:dyDescent="0.2">
      <c r="A16" s="128" t="str">
        <f t="shared" si="2"/>
        <v>Ц_2К_2.2</v>
      </c>
      <c r="B16" s="128" t="str">
        <f t="shared" si="3"/>
        <v>Ц_2</v>
      </c>
      <c r="C16" s="128" t="s">
        <v>254</v>
      </c>
      <c r="D16" s="134" t="str">
        <f>VLOOKUP(C16,Справочники!$A:$B,2,FALSE)</f>
        <v>Лак офсетный</v>
      </c>
      <c r="E16" s="131">
        <v>50</v>
      </c>
      <c r="F16" s="110">
        <f>SUMIF(Нормы!A$2:A$310,A16,Нормы!F$2:F$310)*Нормы!F$7</f>
        <v>0</v>
      </c>
      <c r="G16" s="126">
        <f t="shared" si="0"/>
        <v>0</v>
      </c>
      <c r="H16" s="110">
        <f>SUMIF(Цены!A$2:A$200,C16,Цены!D$2:D$200)</f>
        <v>0</v>
      </c>
      <c r="I16" s="137">
        <f t="shared" si="1"/>
        <v>0</v>
      </c>
    </row>
    <row r="17" spans="1:9" x14ac:dyDescent="0.2">
      <c r="A17" s="128" t="str">
        <f t="shared" si="2"/>
        <v>Ц_2</v>
      </c>
      <c r="B17" s="128" t="str">
        <f t="shared" si="3"/>
        <v>Ц_2</v>
      </c>
      <c r="C17" s="128"/>
      <c r="D17" s="134" t="e">
        <f>VLOOKUP(C17,Справочники!$A:$B,2,FALSE)</f>
        <v>#N/A</v>
      </c>
      <c r="E17" s="131"/>
      <c r="F17" s="110">
        <f>SUMIF(Нормы!A$2:A$310,A17,Нормы!F$2:F$310)*Нормы!F$7</f>
        <v>0</v>
      </c>
      <c r="G17" s="126">
        <f t="shared" si="0"/>
        <v>0</v>
      </c>
      <c r="H17" s="110">
        <f>SUMIF(Цены!A$2:A$200,C17,Цены!D$2:D$200)</f>
        <v>0</v>
      </c>
      <c r="I17" s="137">
        <f t="shared" si="1"/>
        <v>0</v>
      </c>
    </row>
    <row r="18" spans="1:9" x14ac:dyDescent="0.2">
      <c r="A18" s="128" t="str">
        <f t="shared" si="2"/>
        <v>Ц_2</v>
      </c>
      <c r="B18" s="128" t="str">
        <f t="shared" si="3"/>
        <v>Ц_2</v>
      </c>
      <c r="C18" s="128"/>
      <c r="D18" s="134" t="e">
        <f>VLOOKUP(C18,Справочники!$A:$B,2,FALSE)</f>
        <v>#N/A</v>
      </c>
      <c r="E18" s="131"/>
      <c r="F18" s="110">
        <f>SUMIF(Нормы!A$2:A$310,A18,Нормы!F$2:F$310)*Нормы!F$7</f>
        <v>0</v>
      </c>
      <c r="G18" s="126">
        <f t="shared" si="0"/>
        <v>0</v>
      </c>
      <c r="H18" s="110">
        <f>SUMIF(Цены!A$2:A$200,C18,Цены!D$2:D$200)</f>
        <v>0</v>
      </c>
      <c r="I18" s="137">
        <f t="shared" si="1"/>
        <v>0</v>
      </c>
    </row>
    <row r="19" spans="1:9" x14ac:dyDescent="0.2">
      <c r="A19" s="128" t="str">
        <f t="shared" si="2"/>
        <v>Ц_2</v>
      </c>
      <c r="B19" s="128" t="str">
        <f t="shared" si="3"/>
        <v>Ц_2</v>
      </c>
      <c r="C19" s="128"/>
      <c r="D19" s="134" t="e">
        <f>VLOOKUP(C19,Справочники!$A:$B,2,FALSE)</f>
        <v>#N/A</v>
      </c>
      <c r="E19" s="131"/>
      <c r="F19" s="110">
        <f>SUMIF(Нормы!A$2:A$310,A19,Нормы!F$2:F$310)*Нормы!F$7</f>
        <v>0</v>
      </c>
      <c r="G19" s="126">
        <f t="shared" si="0"/>
        <v>0</v>
      </c>
      <c r="H19" s="110">
        <f>SUMIF(Цены!A$2:A$200,C19,Цены!D$2:D$200)</f>
        <v>0</v>
      </c>
      <c r="I19" s="137">
        <f t="shared" si="1"/>
        <v>0</v>
      </c>
    </row>
    <row r="20" spans="1:9" x14ac:dyDescent="0.2">
      <c r="A20" s="128" t="str">
        <f t="shared" si="2"/>
        <v>Ц_2</v>
      </c>
      <c r="B20" s="128" t="str">
        <f t="shared" si="3"/>
        <v>Ц_2</v>
      </c>
      <c r="C20" s="128"/>
      <c r="D20" s="134" t="e">
        <f>VLOOKUP(C20,Справочники!$A:$B,2,FALSE)</f>
        <v>#N/A</v>
      </c>
      <c r="E20" s="131"/>
      <c r="F20" s="110">
        <f>SUMIF(Нормы!A$2:A$310,A20,Нормы!F$2:F$310)*Нормы!F$7</f>
        <v>0</v>
      </c>
      <c r="G20" s="126">
        <f t="shared" si="0"/>
        <v>0</v>
      </c>
      <c r="H20" s="110">
        <f>SUMIF(Цены!A$2:A$200,C20,Цены!D$2:D$200)</f>
        <v>0</v>
      </c>
      <c r="I20" s="137">
        <f t="shared" si="1"/>
        <v>0</v>
      </c>
    </row>
    <row r="21" spans="1:9" x14ac:dyDescent="0.2">
      <c r="A21" s="128" t="str">
        <f t="shared" si="2"/>
        <v>Ц_2</v>
      </c>
      <c r="B21" s="128" t="str">
        <f t="shared" si="3"/>
        <v>Ц_2</v>
      </c>
      <c r="C21" s="128"/>
      <c r="D21" s="134" t="e">
        <f>VLOOKUP(C21,Справочники!$A:$B,2,FALSE)</f>
        <v>#N/A</v>
      </c>
      <c r="E21" s="131"/>
      <c r="F21" s="110">
        <f>SUMIF(Нормы!A$2:A$310,A21,Нормы!F$2:F$310)*Нормы!F$7</f>
        <v>0</v>
      </c>
      <c r="G21" s="126">
        <f t="shared" si="0"/>
        <v>0</v>
      </c>
      <c r="H21" s="110">
        <f>SUMIF(Цены!A$2:A$200,C21,Цены!D$2:D$200)</f>
        <v>0</v>
      </c>
      <c r="I21" s="137">
        <f t="shared" si="1"/>
        <v>0</v>
      </c>
    </row>
    <row r="22" spans="1:9" x14ac:dyDescent="0.2">
      <c r="A22" s="128" t="str">
        <f t="shared" si="2"/>
        <v>Ц_2</v>
      </c>
      <c r="B22" s="128" t="str">
        <f t="shared" si="3"/>
        <v>Ц_2</v>
      </c>
      <c r="C22" s="128"/>
      <c r="D22" s="134" t="e">
        <f>VLOOKUP(C22,Справочники!$A:$B,2,FALSE)</f>
        <v>#N/A</v>
      </c>
      <c r="E22" s="131"/>
      <c r="F22" s="110">
        <f>SUMIF(Нормы!A$2:A$310,A22,Нормы!F$2:F$310)*Нормы!F$7</f>
        <v>0</v>
      </c>
      <c r="G22" s="126">
        <f t="shared" si="0"/>
        <v>0</v>
      </c>
      <c r="H22" s="110">
        <f>SUMIF(Цены!A$2:A$200,C22,Цены!D$2:D$200)</f>
        <v>0</v>
      </c>
      <c r="I22" s="137">
        <f t="shared" si="1"/>
        <v>0</v>
      </c>
    </row>
    <row r="23" spans="1:9" x14ac:dyDescent="0.2">
      <c r="A23" s="128" t="str">
        <f>CONCATENATE(B23,C23)</f>
        <v>Ц_2</v>
      </c>
      <c r="B23" s="128" t="str">
        <f>B22</f>
        <v>Ц_2</v>
      </c>
      <c r="C23" s="128"/>
      <c r="D23" s="134" t="e">
        <f>VLOOKUP(C23,Справочники!$A:$B,2,FALSE)</f>
        <v>#N/A</v>
      </c>
      <c r="E23" s="131"/>
      <c r="F23" s="110">
        <f>SUMIF(Нормы!A$2:A$310,A23,Нормы!F$2:F$310)*Нормы!F$7</f>
        <v>0</v>
      </c>
      <c r="G23" s="126">
        <f t="shared" si="0"/>
        <v>0</v>
      </c>
      <c r="H23" s="110">
        <f>SUMIF(Цены!A$2:A$200,C23,Цены!D$2:D$200)</f>
        <v>0</v>
      </c>
      <c r="I23" s="137">
        <f t="shared" si="1"/>
        <v>0</v>
      </c>
    </row>
    <row r="24" spans="1:9" x14ac:dyDescent="0.2">
      <c r="A24" s="128" t="str">
        <f>CONCATENATE(B24,C24)</f>
        <v>Ц_2</v>
      </c>
      <c r="B24" s="128" t="str">
        <f>B23</f>
        <v>Ц_2</v>
      </c>
      <c r="C24" s="128"/>
      <c r="D24" s="134" t="e">
        <f>VLOOKUP(C24,Справочники!$A:$B,2,FALSE)</f>
        <v>#N/A</v>
      </c>
      <c r="E24" s="131"/>
      <c r="F24" s="110">
        <f>SUMIF(Нормы!A$2:A$310,A24,Нормы!F$2:F$310)*Нормы!F$7</f>
        <v>0</v>
      </c>
      <c r="G24" s="126">
        <f t="shared" si="0"/>
        <v>0</v>
      </c>
      <c r="H24" s="110">
        <f>SUMIF(Цены!A$2:A$200,C24,Цены!D$2:D$200)</f>
        <v>0</v>
      </c>
      <c r="I24" s="137">
        <f t="shared" si="1"/>
        <v>0</v>
      </c>
    </row>
    <row r="25" spans="1:9" x14ac:dyDescent="0.2">
      <c r="A25" s="129" t="str">
        <f>CONCATENATE(B25,C25)</f>
        <v>Ц_2</v>
      </c>
      <c r="B25" s="129" t="str">
        <f>B24</f>
        <v>Ц_2</v>
      </c>
      <c r="C25" s="129"/>
      <c r="D25" s="135" t="e">
        <f>VLOOKUP(C25,Справочники!$A:$B,2,FALSE)</f>
        <v>#N/A</v>
      </c>
      <c r="E25" s="132"/>
      <c r="F25" s="130">
        <f>SUMIF(Нормы!A$2:A$310,A25,Нормы!F$2:F$310)*Нормы!F$7</f>
        <v>0</v>
      </c>
      <c r="G25" s="127">
        <f t="shared" si="0"/>
        <v>0</v>
      </c>
      <c r="H25" s="130">
        <f>SUMIF(Цены!A$2:A$200,C25,Цены!D$2:D$200)</f>
        <v>0</v>
      </c>
      <c r="I25" s="138">
        <f>F25*H25</f>
        <v>0</v>
      </c>
    </row>
    <row r="27" spans="1:9" ht="15" x14ac:dyDescent="0.2">
      <c r="A27" s="257" t="s">
        <v>429</v>
      </c>
      <c r="B27" s="257"/>
      <c r="C27" s="257"/>
      <c r="D27" s="257"/>
      <c r="E27" s="257"/>
      <c r="F27" s="257"/>
      <c r="G27" s="257"/>
      <c r="H27" s="257"/>
      <c r="I27" s="107"/>
    </row>
    <row r="28" spans="1:9" x14ac:dyDescent="0.2">
      <c r="A28" s="244"/>
      <c r="B28" s="244"/>
      <c r="C28" s="244"/>
      <c r="D28" s="244"/>
      <c r="E28" s="244"/>
      <c r="F28" s="244"/>
      <c r="G28" s="244"/>
      <c r="H28" s="244"/>
      <c r="I28" s="107"/>
    </row>
    <row r="29" spans="1:9" ht="15" x14ac:dyDescent="0.2">
      <c r="A29" s="257" t="s">
        <v>430</v>
      </c>
      <c r="B29" s="257"/>
      <c r="C29" s="257"/>
      <c r="D29" s="257"/>
      <c r="E29" s="257"/>
      <c r="F29" s="257"/>
      <c r="G29" s="257"/>
      <c r="H29" s="257"/>
      <c r="I29" s="107"/>
    </row>
    <row r="31" spans="1:9" x14ac:dyDescent="0.2">
      <c r="H31" s="43" t="s">
        <v>436</v>
      </c>
    </row>
    <row r="32" spans="1:9" x14ac:dyDescent="0.2">
      <c r="D32" s="43" t="s">
        <v>435</v>
      </c>
      <c r="E32" s="43">
        <v>25</v>
      </c>
      <c r="F32" s="43">
        <v>50</v>
      </c>
      <c r="G32" s="43">
        <v>75</v>
      </c>
      <c r="H32" s="43">
        <v>100</v>
      </c>
    </row>
    <row r="33" spans="4:7" x14ac:dyDescent="0.2">
      <c r="D33" s="43" t="s">
        <v>434</v>
      </c>
      <c r="E33" s="43">
        <v>25</v>
      </c>
      <c r="F33" s="43">
        <v>50</v>
      </c>
      <c r="G33" s="43">
        <v>75</v>
      </c>
    </row>
  </sheetData>
  <mergeCells count="2">
    <mergeCell ref="A27:H27"/>
    <mergeCell ref="A29:H29"/>
  </mergeCells>
  <phoneticPr fontId="14" type="noConversion"/>
  <hyperlinks>
    <hyperlink ref="A27:H27" location="'Парам заказа'!A1" display="Вернуться в параметры заказа"/>
    <hyperlink ref="A29:H29" location="Калькуляция!A1" display="Вернуться в калькуляцию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"/>
  <sheetViews>
    <sheetView workbookViewId="0">
      <pane ySplit="1" topLeftCell="A2" activePane="bottomLeft" state="frozen"/>
      <selection pane="bottomLeft" activeCell="A6" sqref="A6:E6"/>
    </sheetView>
  </sheetViews>
  <sheetFormatPr defaultRowHeight="12.75" x14ac:dyDescent="0.2"/>
  <cols>
    <col min="1" max="1" width="7.140625" style="43" customWidth="1"/>
    <col min="2" max="2" width="9" style="43" customWidth="1"/>
    <col min="3" max="3" width="7.140625" style="43" customWidth="1"/>
    <col min="4" max="4" width="35.140625" style="43" customWidth="1"/>
    <col min="5" max="5" width="14.85546875" style="107" customWidth="1"/>
    <col min="6" max="7" width="12" style="107" customWidth="1"/>
    <col min="8" max="8" width="11.7109375" style="107" customWidth="1"/>
    <col min="9" max="9" width="10.5703125" style="107" customWidth="1"/>
    <col min="10" max="10" width="11.85546875" style="107" customWidth="1"/>
    <col min="11" max="36" width="6.28515625" style="107" customWidth="1"/>
    <col min="37" max="16384" width="9.140625" style="107"/>
  </cols>
  <sheetData>
    <row r="1" spans="1:33" s="58" customFormat="1" ht="25.5" x14ac:dyDescent="0.2">
      <c r="A1" s="118" t="s">
        <v>356</v>
      </c>
      <c r="B1" s="119" t="s">
        <v>327</v>
      </c>
      <c r="C1" s="119" t="s">
        <v>72</v>
      </c>
      <c r="D1" s="119" t="s">
        <v>359</v>
      </c>
      <c r="E1" s="119" t="s">
        <v>338</v>
      </c>
      <c r="F1" s="119" t="s">
        <v>295</v>
      </c>
      <c r="G1" s="119" t="s">
        <v>350</v>
      </c>
      <c r="H1" s="119" t="s">
        <v>71</v>
      </c>
      <c r="I1" s="120" t="s">
        <v>311</v>
      </c>
    </row>
    <row r="2" spans="1:33" x14ac:dyDescent="0.2">
      <c r="A2" s="101" t="str">
        <f>CONCATENATE(B2,C2)</f>
        <v>Ц_21.7</v>
      </c>
      <c r="B2" s="246" t="str">
        <f>'Парам заказа'!A8</f>
        <v>Ц_2</v>
      </c>
      <c r="C2" s="168" t="s">
        <v>169</v>
      </c>
      <c r="D2" s="112" t="str">
        <f>VLOOKUP(C2,Справочники!$A:$B,2,FALSE)</f>
        <v>Офсетная резина</v>
      </c>
      <c r="E2" s="111" t="s">
        <v>79</v>
      </c>
      <c r="F2" s="111" t="s">
        <v>79</v>
      </c>
      <c r="G2" s="111" t="s">
        <v>79</v>
      </c>
      <c r="H2" s="111" t="s">
        <v>79</v>
      </c>
      <c r="I2" s="251">
        <f>SUM(I3:I4)</f>
        <v>0.85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x14ac:dyDescent="0.2">
      <c r="A3" s="141" t="str">
        <f>CONCATENATE(B3,C3)</f>
        <v>Ц_2Р_1</v>
      </c>
      <c r="B3" s="126" t="str">
        <f>B2</f>
        <v>Ц_2</v>
      </c>
      <c r="C3" s="247" t="s">
        <v>259</v>
      </c>
      <c r="D3" s="93" t="str">
        <f>VLOOKUP(C3,Справочники!$A:$B,2,FALSE)</f>
        <v>Офсетная резина для краски</v>
      </c>
      <c r="E3" s="174">
        <f>SUMIF(Краска!C$4:C$25,"К_1*",Краска!E$4:E$25)</f>
        <v>100</v>
      </c>
      <c r="F3" s="249">
        <f>SUMIF(Нормы!A$2:A$300,A3,Нормы!F$2:F$300)</f>
        <v>2E-3</v>
      </c>
      <c r="G3" s="126">
        <f>E3*F3</f>
        <v>0.2</v>
      </c>
      <c r="H3" s="110">
        <f>SUMIF(Цены!A$2:A$200,C3,Цены!D$2:D$200)</f>
        <v>2</v>
      </c>
      <c r="I3" s="137">
        <f>G3*H3</f>
        <v>0.4</v>
      </c>
    </row>
    <row r="4" spans="1:33" x14ac:dyDescent="0.2">
      <c r="A4" s="142" t="str">
        <f>CONCATENATE(B4,C4)</f>
        <v>Ц_2Р_2</v>
      </c>
      <c r="B4" s="127" t="str">
        <f>B3</f>
        <v>Ц_2</v>
      </c>
      <c r="C4" s="248" t="s">
        <v>260</v>
      </c>
      <c r="D4" s="115" t="str">
        <f>VLOOKUP(C4,Справочники!$A:$B,2,FALSE)</f>
        <v>Офсетное полотно для лака</v>
      </c>
      <c r="E4" s="175">
        <f>SUMIF(Краска!C$4:C$25,"К_2*",Краска!E$4:E$25)</f>
        <v>50</v>
      </c>
      <c r="F4" s="250">
        <f>SUMIF(Нормы!A$2:A$300,A4,Нормы!F$2:F$300)</f>
        <v>3.0000000000000001E-3</v>
      </c>
      <c r="G4" s="127">
        <f>E4*F4</f>
        <v>0.15</v>
      </c>
      <c r="H4" s="130">
        <f>SUMIF(Цены!A$2:A$200,C4,Цены!D$2:D$200)</f>
        <v>3</v>
      </c>
      <c r="I4" s="138">
        <f>G4*H4</f>
        <v>0.44999999999999996</v>
      </c>
    </row>
    <row r="6" spans="1:33" ht="15" x14ac:dyDescent="0.2">
      <c r="A6" s="257" t="s">
        <v>430</v>
      </c>
      <c r="B6" s="257"/>
      <c r="C6" s="257"/>
      <c r="D6" s="257"/>
      <c r="E6" s="257"/>
    </row>
  </sheetData>
  <mergeCells count="1">
    <mergeCell ref="A6:E6"/>
  </mergeCells>
  <phoneticPr fontId="14" type="noConversion"/>
  <hyperlinks>
    <hyperlink ref="A6:E6" location="Калькуляция!A1" display="Вернуться в калькуляцию"/>
  </hyperlink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workbookViewId="0">
      <selection activeCell="E18" sqref="E18"/>
    </sheetView>
  </sheetViews>
  <sheetFormatPr defaultRowHeight="12.75" x14ac:dyDescent="0.2"/>
  <cols>
    <col min="1" max="1" width="7.140625" style="43" customWidth="1"/>
    <col min="2" max="2" width="14" style="43" customWidth="1"/>
    <col min="3" max="3" width="29.42578125" style="43" customWidth="1"/>
    <col min="4" max="4" width="16.7109375" style="43" customWidth="1"/>
    <col min="5" max="5" width="18.42578125" style="43" customWidth="1"/>
    <col min="6" max="6" width="16.7109375" style="43" customWidth="1"/>
    <col min="7" max="7" width="19.5703125" style="43" customWidth="1"/>
    <col min="8" max="32" width="6.28515625" style="107" customWidth="1"/>
    <col min="33" max="16384" width="9.140625" style="107"/>
  </cols>
  <sheetData>
    <row r="1" spans="1:29" s="21" customFormat="1" ht="25.5" x14ac:dyDescent="0.2">
      <c r="A1" s="118" t="s">
        <v>72</v>
      </c>
      <c r="B1" s="144" t="s">
        <v>366</v>
      </c>
      <c r="C1" s="119" t="s">
        <v>363</v>
      </c>
      <c r="D1" s="119" t="s">
        <v>364</v>
      </c>
      <c r="E1" s="119" t="s">
        <v>301</v>
      </c>
      <c r="F1" s="119" t="s">
        <v>365</v>
      </c>
      <c r="G1" s="120" t="s">
        <v>311</v>
      </c>
    </row>
    <row r="2" spans="1:29" x14ac:dyDescent="0.2">
      <c r="A2" s="133" t="s">
        <v>166</v>
      </c>
      <c r="B2" s="111" t="s">
        <v>79</v>
      </c>
      <c r="C2" s="112" t="str">
        <f>VLOOKUP(A2,Справочники!$A:$B,2,FALSE)</f>
        <v>Возвратные отходы</v>
      </c>
      <c r="D2" s="111" t="s">
        <v>79</v>
      </c>
      <c r="E2" s="111" t="s">
        <v>79</v>
      </c>
      <c r="F2" s="111" t="s">
        <v>79</v>
      </c>
      <c r="G2" s="149">
        <f ca="1">SUM(G3:G6)</f>
        <v>22.125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x14ac:dyDescent="0.2">
      <c r="A3" s="80" t="s">
        <v>280</v>
      </c>
      <c r="B3" s="110" t="s">
        <v>205</v>
      </c>
      <c r="C3" s="93" t="str">
        <f>VLOOKUP(A3,Справочники!$A:$B,2,FALSE)</f>
        <v>Возвратные отходы по пластинам</v>
      </c>
      <c r="D3" s="93">
        <f>SUMIF('Парам заказа'!A$2:A$28,B3,'Парам заказа'!C$2:C$28)</f>
        <v>0</v>
      </c>
      <c r="E3" s="143">
        <f>SUMIF(Нормы!C$2:C$208,A3,Нормы!F$2:F$208)</f>
        <v>1</v>
      </c>
      <c r="F3" s="93">
        <f ca="1">SUMIF(Цены!A$2:B$300,A3,Цены!D$2:D$300)</f>
        <v>5</v>
      </c>
      <c r="G3" s="145">
        <f ca="1">D3*E3*F3</f>
        <v>0</v>
      </c>
    </row>
    <row r="4" spans="1:29" x14ac:dyDescent="0.2">
      <c r="A4" s="80" t="s">
        <v>280</v>
      </c>
      <c r="B4" s="110" t="s">
        <v>206</v>
      </c>
      <c r="C4" s="93" t="str">
        <f>VLOOKUP(A4,Справочники!$A:$B,2,FALSE)</f>
        <v>Возвратные отходы по пластинам</v>
      </c>
      <c r="D4" s="93">
        <f>SUMIF('Парам заказа'!A$2:A$28,B4,'Парам заказа'!C$2:C$28)</f>
        <v>3.7049999999999996</v>
      </c>
      <c r="E4" s="143">
        <f>SUMIF(Нормы!C$2:C$208,A4,Нормы!F$2:F$208)</f>
        <v>1</v>
      </c>
      <c r="F4" s="93">
        <f ca="1">SUMIF(Цены!A$2:B$300,A4,Цены!D$2:D$300)</f>
        <v>5</v>
      </c>
      <c r="G4" s="145">
        <f ca="1">D4*E4*F4</f>
        <v>18.524999999999999</v>
      </c>
    </row>
    <row r="5" spans="1:29" x14ac:dyDescent="0.2">
      <c r="A5" s="80" t="s">
        <v>281</v>
      </c>
      <c r="B5" s="110" t="s">
        <v>207</v>
      </c>
      <c r="C5" s="93" t="str">
        <f>VLOOKUP(A5,Справочники!$A:$B,2,FALSE)</f>
        <v>Возвратные отходы по бумаге</v>
      </c>
      <c r="D5" s="93">
        <f>SUMIF('Парам заказа'!A$2:A$28,B5,'Парам заказа'!C$2:C$28)</f>
        <v>4</v>
      </c>
      <c r="E5" s="143">
        <f>SUMIF(Нормы!C$2:C$208,A5,Нормы!F$2:F$208)</f>
        <v>0.15</v>
      </c>
      <c r="F5" s="93">
        <f ca="1">SUMIF(Цены!A$2:B$300,A5,Цены!D$2:D$300)</f>
        <v>6</v>
      </c>
      <c r="G5" s="145">
        <f ca="1">D5*E5*F5</f>
        <v>3.5999999999999996</v>
      </c>
    </row>
    <row r="6" spans="1:29" x14ac:dyDescent="0.2">
      <c r="A6" s="146" t="s">
        <v>282</v>
      </c>
      <c r="B6" s="130" t="s">
        <v>335</v>
      </c>
      <c r="C6" s="115" t="str">
        <f>VLOOKUP(A6,Справочники!$A:$B,2,FALSE)</f>
        <v>Возвратные отходы по пленкам</v>
      </c>
      <c r="D6" s="115">
        <f>SUMIF('Парам заказа'!A$2:A$28,B6,'Парам заказа'!C$2:C$28)</f>
        <v>0</v>
      </c>
      <c r="E6" s="147">
        <f>SUMIF(Нормы!C$2:C$208,A6,Нормы!F$2:F$208)</f>
        <v>1</v>
      </c>
      <c r="F6" s="115">
        <f ca="1">SUMIF(Цены!A$2:B$300,A6,Цены!D$2:D$300)</f>
        <v>7</v>
      </c>
      <c r="G6" s="148">
        <f ca="1">D6*E6*F6</f>
        <v>0</v>
      </c>
    </row>
    <row r="8" spans="1:29" ht="15" x14ac:dyDescent="0.2">
      <c r="A8" s="257" t="s">
        <v>430</v>
      </c>
      <c r="B8" s="257"/>
      <c r="C8" s="257"/>
      <c r="D8" s="257"/>
      <c r="E8" s="257"/>
      <c r="F8" s="257"/>
      <c r="G8" s="257"/>
      <c r="H8" s="257"/>
    </row>
    <row r="9" spans="1:29" s="21" customFormat="1" x14ac:dyDescent="0.2">
      <c r="A9" s="69"/>
      <c r="B9" s="69"/>
      <c r="C9" s="69"/>
      <c r="D9" s="69"/>
      <c r="E9" s="69"/>
      <c r="F9" s="69"/>
      <c r="G9" s="69"/>
    </row>
    <row r="10" spans="1:29" s="21" customFormat="1" x14ac:dyDescent="0.2">
      <c r="A10" s="69"/>
      <c r="B10" s="69"/>
      <c r="C10" s="69"/>
      <c r="D10" s="69"/>
      <c r="E10" s="69"/>
      <c r="F10" s="69"/>
      <c r="G10" s="69"/>
    </row>
    <row r="11" spans="1:29" s="21" customFormat="1" x14ac:dyDescent="0.2">
      <c r="A11" s="69"/>
      <c r="B11" s="69"/>
      <c r="C11" s="69"/>
      <c r="D11" s="69"/>
      <c r="E11" s="69"/>
      <c r="F11" s="69"/>
      <c r="G11" s="69"/>
    </row>
    <row r="12" spans="1:29" s="21" customFormat="1" x14ac:dyDescent="0.2">
      <c r="A12" s="69"/>
      <c r="B12" s="69"/>
      <c r="C12" s="69"/>
      <c r="D12" s="69"/>
      <c r="E12" s="69"/>
      <c r="F12" s="69"/>
      <c r="G12" s="69"/>
    </row>
    <row r="13" spans="1:29" s="21" customFormat="1" x14ac:dyDescent="0.2">
      <c r="A13" s="69"/>
      <c r="B13" s="69"/>
      <c r="C13" s="69"/>
      <c r="D13" s="69"/>
      <c r="E13" s="69"/>
      <c r="F13" s="69"/>
      <c r="G13" s="69"/>
    </row>
    <row r="14" spans="1:29" s="21" customFormat="1" x14ac:dyDescent="0.2">
      <c r="A14" s="69"/>
      <c r="B14" s="69"/>
      <c r="C14" s="69"/>
      <c r="D14" s="69"/>
      <c r="E14" s="69"/>
      <c r="F14" s="69"/>
      <c r="G14" s="69"/>
    </row>
    <row r="15" spans="1:29" s="21" customFormat="1" x14ac:dyDescent="0.2">
      <c r="A15" s="69"/>
      <c r="B15" s="69"/>
      <c r="C15" s="69"/>
      <c r="D15" s="69"/>
      <c r="E15" s="69"/>
      <c r="F15" s="69"/>
      <c r="G15" s="69"/>
    </row>
    <row r="16" spans="1:29" s="21" customFormat="1" x14ac:dyDescent="0.2">
      <c r="A16" s="69"/>
      <c r="B16" s="69"/>
      <c r="C16" s="69"/>
      <c r="D16" s="69"/>
      <c r="E16" s="69"/>
      <c r="F16" s="69"/>
      <c r="G16" s="69"/>
    </row>
    <row r="17" spans="1:7" s="21" customFormat="1" x14ac:dyDescent="0.2">
      <c r="A17" s="69"/>
      <c r="B17" s="69"/>
      <c r="C17" s="69"/>
      <c r="D17" s="69"/>
      <c r="E17" s="69"/>
      <c r="F17" s="69"/>
      <c r="G17" s="69"/>
    </row>
    <row r="18" spans="1:7" s="21" customFormat="1" x14ac:dyDescent="0.2">
      <c r="A18" s="69"/>
      <c r="B18" s="69"/>
      <c r="C18" s="69"/>
      <c r="D18" s="69"/>
      <c r="E18" s="69"/>
      <c r="F18" s="69"/>
      <c r="G18" s="69"/>
    </row>
    <row r="19" spans="1:7" s="21" customFormat="1" x14ac:dyDescent="0.2">
      <c r="A19" s="69"/>
      <c r="B19" s="69"/>
      <c r="C19" s="69"/>
      <c r="D19" s="69"/>
      <c r="E19" s="69"/>
      <c r="F19" s="69"/>
      <c r="G19" s="69"/>
    </row>
    <row r="20" spans="1:7" s="21" customFormat="1" x14ac:dyDescent="0.2">
      <c r="A20" s="69"/>
      <c r="B20" s="69"/>
      <c r="C20" s="69"/>
      <c r="D20" s="69"/>
      <c r="E20" s="69"/>
      <c r="F20" s="69"/>
      <c r="G20" s="69"/>
    </row>
    <row r="21" spans="1:7" s="21" customFormat="1" x14ac:dyDescent="0.2">
      <c r="A21" s="69"/>
      <c r="B21" s="69"/>
      <c r="C21" s="69"/>
      <c r="D21" s="69"/>
      <c r="E21" s="69"/>
      <c r="F21" s="69"/>
      <c r="G21" s="69"/>
    </row>
  </sheetData>
  <mergeCells count="1">
    <mergeCell ref="A8:H8"/>
  </mergeCells>
  <phoneticPr fontId="14" type="noConversion"/>
  <hyperlinks>
    <hyperlink ref="A8:H8" location="Калькуляция!A1" display="Вернуться в калькуляцию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opLeftCell="C1" workbookViewId="0">
      <selection activeCell="A20" sqref="A20:H20"/>
    </sheetView>
  </sheetViews>
  <sheetFormatPr defaultRowHeight="12.75" x14ac:dyDescent="0.2"/>
  <cols>
    <col min="1" max="1" width="9.140625" style="107" hidden="1" customWidth="1"/>
    <col min="2" max="2" width="8.42578125" style="107" hidden="1" customWidth="1"/>
    <col min="3" max="3" width="7.140625" style="43" customWidth="1"/>
    <col min="4" max="4" width="38.42578125" style="43" customWidth="1"/>
    <col min="5" max="5" width="16.42578125" style="43" customWidth="1"/>
    <col min="6" max="6" width="17.85546875" style="43" customWidth="1"/>
    <col min="7" max="9" width="16.42578125" style="43" customWidth="1"/>
    <col min="10" max="10" width="11.85546875" style="107" customWidth="1"/>
    <col min="11" max="36" width="6.28515625" style="107" customWidth="1"/>
    <col min="37" max="16384" width="9.140625" style="107"/>
  </cols>
  <sheetData>
    <row r="1" spans="1:33" s="58" customFormat="1" ht="25.5" x14ac:dyDescent="0.2">
      <c r="A1" s="58" t="s">
        <v>356</v>
      </c>
      <c r="B1" s="58" t="s">
        <v>327</v>
      </c>
      <c r="C1" s="118" t="s">
        <v>72</v>
      </c>
      <c r="D1" s="119" t="s">
        <v>368</v>
      </c>
      <c r="E1" s="119" t="s">
        <v>297</v>
      </c>
      <c r="F1" s="119" t="s">
        <v>373</v>
      </c>
      <c r="G1" s="119" t="s">
        <v>320</v>
      </c>
      <c r="H1" s="119" t="s">
        <v>59</v>
      </c>
      <c r="I1" s="120" t="s">
        <v>311</v>
      </c>
    </row>
    <row r="2" spans="1:33" ht="25.5" x14ac:dyDescent="0.2">
      <c r="A2" s="107" t="str">
        <f>CONCATENATE(B2,C18)</f>
        <v>Ц_11.6</v>
      </c>
      <c r="B2" s="107" t="s">
        <v>190</v>
      </c>
      <c r="C2" s="136"/>
      <c r="D2" s="77" t="s">
        <v>369</v>
      </c>
      <c r="E2" s="111" t="s">
        <v>79</v>
      </c>
      <c r="F2" s="111" t="s">
        <v>79</v>
      </c>
      <c r="G2" s="111" t="s">
        <v>79</v>
      </c>
      <c r="H2" s="111" t="s">
        <v>79</v>
      </c>
      <c r="I2" s="106">
        <f>SUM(I3:I8)</f>
        <v>66.689999999999984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x14ac:dyDescent="0.2">
      <c r="A3" s="107" t="str">
        <f>CONCATENATE(B3,C3)</f>
        <v>Ц_1Х_1</v>
      </c>
      <c r="B3" s="107" t="s">
        <v>190</v>
      </c>
      <c r="C3" s="141" t="s">
        <v>232</v>
      </c>
      <c r="D3" s="93" t="str">
        <f>VLOOKUP(C3,Справочники!$A:$B,2,FALSE)</f>
        <v>Проявитель обычный</v>
      </c>
      <c r="E3" s="110">
        <f>Пластины!G$2</f>
        <v>3.7049999999999996</v>
      </c>
      <c r="F3" s="110">
        <f>SUMIF(Нормы!A$2:A$310,A3,Нормы!F$2:F$310)</f>
        <v>4</v>
      </c>
      <c r="G3" s="126">
        <f>E3*F3</f>
        <v>14.819999999999999</v>
      </c>
      <c r="H3" s="110">
        <f>SUMIF(Цены!A$2:A$200,C3,Цены!D$2:D$200)</f>
        <v>1</v>
      </c>
      <c r="I3" s="137">
        <f t="shared" ref="I3:I8" si="0">G3*H3</f>
        <v>14.819999999999999</v>
      </c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33" x14ac:dyDescent="0.2">
      <c r="A4" s="107" t="str">
        <f t="shared" ref="A4:A28" si="1">CONCATENATE(B4,C4)</f>
        <v>Ц_1Х_2</v>
      </c>
      <c r="B4" s="107" t="s">
        <v>190</v>
      </c>
      <c r="C4" s="141" t="s">
        <v>233</v>
      </c>
      <c r="D4" s="134" t="str">
        <f>VLOOKUP(C4,Справочники!$A:$B,2,FALSE)</f>
        <v>Проявитель СТР</v>
      </c>
      <c r="E4" s="110">
        <f>Пластины!G$2</f>
        <v>3.7049999999999996</v>
      </c>
      <c r="F4" s="110">
        <f>SUMIF(Нормы!A$2:A$310,A4,Нормы!F$2:F$310)</f>
        <v>3</v>
      </c>
      <c r="G4" s="126">
        <f t="shared" ref="G4:G17" si="2">E4*F4</f>
        <v>11.114999999999998</v>
      </c>
      <c r="H4" s="110">
        <f>SUMIF(Цены!A$2:A$200,C4,Цены!D$2:D$200)</f>
        <v>1</v>
      </c>
      <c r="I4" s="137">
        <f t="shared" si="0"/>
        <v>11.114999999999998</v>
      </c>
    </row>
    <row r="5" spans="1:33" x14ac:dyDescent="0.2">
      <c r="A5" s="107" t="str">
        <f t="shared" si="1"/>
        <v>Ц_1Х_3</v>
      </c>
      <c r="B5" s="107" t="s">
        <v>190</v>
      </c>
      <c r="C5" s="141" t="s">
        <v>234</v>
      </c>
      <c r="D5" s="134" t="str">
        <f>VLOOKUP(C5,Справочники!$A:$B,2,FALSE)</f>
        <v>Подкрепитель обычный</v>
      </c>
      <c r="E5" s="110">
        <f>Пластины!G$2</f>
        <v>3.7049999999999996</v>
      </c>
      <c r="F5" s="110">
        <f>SUMIF(Нормы!A$2:A$310,A5,Нормы!F$2:F$310)</f>
        <v>4</v>
      </c>
      <c r="G5" s="126">
        <f t="shared" si="2"/>
        <v>14.819999999999999</v>
      </c>
      <c r="H5" s="110">
        <f>SUMIF(Цены!A$2:A$200,C5,Цены!D$2:D$200)</f>
        <v>1</v>
      </c>
      <c r="I5" s="137">
        <f t="shared" si="0"/>
        <v>14.819999999999999</v>
      </c>
    </row>
    <row r="6" spans="1:33" x14ac:dyDescent="0.2">
      <c r="A6" s="107" t="str">
        <f t="shared" si="1"/>
        <v>Ц_1Х_4</v>
      </c>
      <c r="B6" s="107" t="s">
        <v>190</v>
      </c>
      <c r="C6" s="141" t="s">
        <v>235</v>
      </c>
      <c r="D6" s="134" t="str">
        <f>VLOOKUP(C6,Справочники!$A:$B,2,FALSE)</f>
        <v>Подкрепитель СТР</v>
      </c>
      <c r="E6" s="110">
        <f>Пластины!G$2</f>
        <v>3.7049999999999996</v>
      </c>
      <c r="F6" s="110">
        <f>SUMIF(Нормы!A$2:A$310,A6,Нормы!F$2:F$310)</f>
        <v>3</v>
      </c>
      <c r="G6" s="126">
        <f t="shared" si="2"/>
        <v>11.114999999999998</v>
      </c>
      <c r="H6" s="110">
        <f>SUMIF(Цены!A$2:A$200,C6,Цены!D$2:D$200)</f>
        <v>1</v>
      </c>
      <c r="I6" s="137">
        <f t="shared" si="0"/>
        <v>11.114999999999998</v>
      </c>
    </row>
    <row r="7" spans="1:33" x14ac:dyDescent="0.2">
      <c r="A7" s="107" t="str">
        <f t="shared" si="1"/>
        <v>Ц_1Х_5</v>
      </c>
      <c r="B7" s="107" t="s">
        <v>190</v>
      </c>
      <c r="C7" s="141" t="s">
        <v>236</v>
      </c>
      <c r="D7" s="134" t="str">
        <f>VLOOKUP(C7,Справочники!$A:$B,2,FALSE)</f>
        <v>Изопропиловый спирт</v>
      </c>
      <c r="E7" s="110">
        <f>Пластины!G$2</f>
        <v>3.7049999999999996</v>
      </c>
      <c r="F7" s="110">
        <f>SUMIF(Нормы!A$2:A$310,A7,Нормы!F$2:F$310)</f>
        <v>4</v>
      </c>
      <c r="G7" s="126">
        <f t="shared" si="2"/>
        <v>14.819999999999999</v>
      </c>
      <c r="H7" s="110">
        <f>SUMIF(Цены!A$2:A$200,C7,Цены!D$2:D$200)</f>
        <v>1</v>
      </c>
      <c r="I7" s="137">
        <f t="shared" si="0"/>
        <v>14.819999999999999</v>
      </c>
    </row>
    <row r="8" spans="1:33" x14ac:dyDescent="0.2">
      <c r="A8" s="107" t="str">
        <f t="shared" si="1"/>
        <v>Ц_1</v>
      </c>
      <c r="B8" s="107" t="s">
        <v>190</v>
      </c>
      <c r="C8" s="141"/>
      <c r="D8" s="134" t="e">
        <f>VLOOKUP(C8,Справочники!$A:$B,2,FALSE)</f>
        <v>#N/A</v>
      </c>
      <c r="E8" s="110">
        <f>Пластины!G$2</f>
        <v>3.7049999999999996</v>
      </c>
      <c r="F8" s="110">
        <f>SUMIF(Нормы!A$2:A$310,A8,Нормы!F$2:F$310)</f>
        <v>0</v>
      </c>
      <c r="G8" s="126">
        <f t="shared" si="2"/>
        <v>0</v>
      </c>
      <c r="H8" s="110">
        <f>SUMIF(Цены!A$2:A$200,C8,Цены!D$2:D$200)</f>
        <v>0</v>
      </c>
      <c r="I8" s="137">
        <f t="shared" si="0"/>
        <v>0</v>
      </c>
    </row>
    <row r="9" spans="1:33" ht="25.5" x14ac:dyDescent="0.2">
      <c r="A9" s="107" t="str">
        <f t="shared" si="1"/>
        <v>Код</v>
      </c>
      <c r="C9" s="155" t="s">
        <v>72</v>
      </c>
      <c r="D9" s="156" t="s">
        <v>368</v>
      </c>
      <c r="E9" s="156" t="s">
        <v>338</v>
      </c>
      <c r="F9" s="156" t="s">
        <v>355</v>
      </c>
      <c r="G9" s="156" t="s">
        <v>320</v>
      </c>
      <c r="H9" s="156" t="s">
        <v>59</v>
      </c>
      <c r="I9" s="157" t="s">
        <v>311</v>
      </c>
    </row>
    <row r="10" spans="1:33" x14ac:dyDescent="0.2">
      <c r="A10" s="107" t="str">
        <f t="shared" si="1"/>
        <v>Ц_2</v>
      </c>
      <c r="B10" s="107" t="str">
        <f>'Парам заказа'!A$8</f>
        <v>Ц_2</v>
      </c>
      <c r="C10" s="136"/>
      <c r="D10" s="77" t="s">
        <v>370</v>
      </c>
      <c r="E10" s="111" t="s">
        <v>79</v>
      </c>
      <c r="F10" s="111" t="s">
        <v>79</v>
      </c>
      <c r="G10" s="111" t="s">
        <v>79</v>
      </c>
      <c r="H10" s="111" t="s">
        <v>79</v>
      </c>
      <c r="I10" s="106">
        <f>SUM(I11:I17)</f>
        <v>180</v>
      </c>
    </row>
    <row r="11" spans="1:33" x14ac:dyDescent="0.2">
      <c r="A11" s="107" t="str">
        <f t="shared" si="1"/>
        <v>Ц_2Х_6</v>
      </c>
      <c r="B11" s="107" t="str">
        <f>'Парам заказа'!A$8</f>
        <v>Ц_2</v>
      </c>
      <c r="C11" s="141" t="s">
        <v>237</v>
      </c>
      <c r="D11" s="134" t="str">
        <f>VLOOKUP(C11,Справочники!$A:$B,2,FALSE)</f>
        <v>Аквастабил</v>
      </c>
      <c r="E11" s="110">
        <f>'Парам заказа'!C$10</f>
        <v>150</v>
      </c>
      <c r="F11" s="110">
        <f>SUMIF(Нормы!A$2:A$310,A11,Нормы!F$2:F$310)</f>
        <v>0.2</v>
      </c>
      <c r="G11" s="126">
        <f t="shared" si="2"/>
        <v>30</v>
      </c>
      <c r="H11" s="110">
        <f>SUMIF(Цены!A$2:A$200,C11,Цены!D$2:D$200)</f>
        <v>1</v>
      </c>
      <c r="I11" s="137">
        <f>G11*H11</f>
        <v>30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</row>
    <row r="12" spans="1:33" x14ac:dyDescent="0.2">
      <c r="A12" s="107" t="str">
        <f t="shared" si="1"/>
        <v>Ц_2Х_7</v>
      </c>
      <c r="B12" s="107" t="str">
        <f>'Парам заказа'!A$8</f>
        <v>Ц_2</v>
      </c>
      <c r="C12" s="141" t="s">
        <v>238</v>
      </c>
      <c r="D12" s="134" t="str">
        <f>VLOOKUP(C12,Справочники!$A:$B,2,FALSE)</f>
        <v>Смывка ручная</v>
      </c>
      <c r="E12" s="110">
        <f>'Парам заказа'!C$10</f>
        <v>150</v>
      </c>
      <c r="F12" s="110">
        <f>SUMIF(Нормы!A$2:A$310,A12,Нормы!F$2:F$310)</f>
        <v>0.2</v>
      </c>
      <c r="G12" s="126">
        <f t="shared" si="2"/>
        <v>30</v>
      </c>
      <c r="H12" s="110">
        <f>SUMIF(Цены!A$2:A$200,C12,Цены!D$2:D$200)</f>
        <v>1</v>
      </c>
      <c r="I12" s="137">
        <f t="shared" ref="I12:I17" si="3">G12*H12</f>
        <v>30</v>
      </c>
    </row>
    <row r="13" spans="1:33" x14ac:dyDescent="0.2">
      <c r="A13" s="107" t="str">
        <f t="shared" si="1"/>
        <v>Ц_2Х_8</v>
      </c>
      <c r="B13" s="107" t="str">
        <f>'Парам заказа'!A$8</f>
        <v>Ц_2</v>
      </c>
      <c r="C13" s="141" t="s">
        <v>239</v>
      </c>
      <c r="D13" s="134" t="str">
        <f>VLOOKUP(C13,Справочники!$A:$B,2,FALSE)</f>
        <v>Смывка автоматическая</v>
      </c>
      <c r="E13" s="110">
        <f>'Парам заказа'!C$10</f>
        <v>150</v>
      </c>
      <c r="F13" s="110">
        <f>SUMIF(Нормы!A$2:A$310,A13,Нормы!F$2:F$310)</f>
        <v>0.2</v>
      </c>
      <c r="G13" s="126">
        <f t="shared" si="2"/>
        <v>30</v>
      </c>
      <c r="H13" s="110">
        <f>SUMIF(Цены!A$2:A$200,C13,Цены!D$2:D$200)</f>
        <v>1</v>
      </c>
      <c r="I13" s="137">
        <f t="shared" si="3"/>
        <v>30</v>
      </c>
    </row>
    <row r="14" spans="1:33" x14ac:dyDescent="0.2">
      <c r="A14" s="107" t="str">
        <f t="shared" si="1"/>
        <v>Ц_2Х_9</v>
      </c>
      <c r="B14" s="107" t="str">
        <f>'Парам заказа'!A$8</f>
        <v>Ц_2</v>
      </c>
      <c r="C14" s="141" t="s">
        <v>240</v>
      </c>
      <c r="D14" s="134" t="str">
        <f>VLOOKUP(C14,Справочники!$A:$B,2,FALSE)</f>
        <v>Сиккатив для увлажняющего раствора</v>
      </c>
      <c r="E14" s="110">
        <f>'Парам заказа'!C$10</f>
        <v>150</v>
      </c>
      <c r="F14" s="110">
        <f>SUMIF(Нормы!A$2:A$310,A14,Нормы!F$2:F$310)</f>
        <v>0.2</v>
      </c>
      <c r="G14" s="126">
        <f t="shared" si="2"/>
        <v>30</v>
      </c>
      <c r="H14" s="110">
        <f>SUMIF(Цены!A$2:A$200,C14,Цены!D$2:D$200)</f>
        <v>1</v>
      </c>
      <c r="I14" s="137">
        <f t="shared" si="3"/>
        <v>30</v>
      </c>
    </row>
    <row r="15" spans="1:33" x14ac:dyDescent="0.2">
      <c r="A15" s="107" t="str">
        <f t="shared" si="1"/>
        <v>Ц_2Х_10</v>
      </c>
      <c r="B15" s="107" t="str">
        <f>'Парам заказа'!A$8</f>
        <v>Ц_2</v>
      </c>
      <c r="C15" s="141" t="s">
        <v>241</v>
      </c>
      <c r="D15" s="134" t="str">
        <f>VLOOKUP(C15,Справочники!$A:$B,2,FALSE)</f>
        <v>Антисиккатив</v>
      </c>
      <c r="E15" s="110">
        <f>'Парам заказа'!C$10</f>
        <v>150</v>
      </c>
      <c r="F15" s="110">
        <f>SUMIF(Нормы!A$2:A$310,A15,Нормы!F$2:F$310)</f>
        <v>0.2</v>
      </c>
      <c r="G15" s="126">
        <f t="shared" si="2"/>
        <v>30</v>
      </c>
      <c r="H15" s="110">
        <f>SUMIF(Цены!A$2:A$200,C15,Цены!D$2:D$200)</f>
        <v>1</v>
      </c>
      <c r="I15" s="137">
        <f t="shared" si="3"/>
        <v>30</v>
      </c>
    </row>
    <row r="16" spans="1:33" x14ac:dyDescent="0.2">
      <c r="A16" s="107" t="str">
        <f t="shared" si="1"/>
        <v>Ц_2Х_11</v>
      </c>
      <c r="B16" s="107" t="str">
        <f>'Парам заказа'!A$8</f>
        <v>Ц_2</v>
      </c>
      <c r="C16" s="141" t="s">
        <v>242</v>
      </c>
      <c r="D16" s="134" t="str">
        <f>VLOOKUP(C16,Справочники!$A:$B,2,FALSE)</f>
        <v>Антисиккатив-спрей</v>
      </c>
      <c r="E16" s="110">
        <f>'Парам заказа'!C$10</f>
        <v>150</v>
      </c>
      <c r="F16" s="110">
        <f>SUMIF(Нормы!A$2:A$310,A16,Нормы!F$2:F$310)</f>
        <v>0.2</v>
      </c>
      <c r="G16" s="126">
        <f t="shared" si="2"/>
        <v>30</v>
      </c>
      <c r="H16" s="110">
        <f>SUMIF(Цены!A$2:A$200,C16,Цены!D$2:D$200)</f>
        <v>1</v>
      </c>
      <c r="I16" s="137">
        <f t="shared" si="3"/>
        <v>30</v>
      </c>
    </row>
    <row r="17" spans="1:9" x14ac:dyDescent="0.2">
      <c r="A17" s="107" t="str">
        <f t="shared" si="1"/>
        <v>Ц_2Х_12</v>
      </c>
      <c r="B17" s="107" t="str">
        <f>'Парам заказа'!A$8</f>
        <v>Ц_2</v>
      </c>
      <c r="C17" s="141" t="s">
        <v>371</v>
      </c>
      <c r="D17" s="134" t="e">
        <f>VLOOKUP(C17,Справочники!$A:$B,2,FALSE)</f>
        <v>#N/A</v>
      </c>
      <c r="E17" s="110">
        <f>'Парам заказа'!C$10</f>
        <v>150</v>
      </c>
      <c r="F17" s="110">
        <f>SUMIF(Нормы!A$2:A$310,A17,Нормы!F$2:F$310)</f>
        <v>0</v>
      </c>
      <c r="G17" s="126">
        <f t="shared" si="2"/>
        <v>0</v>
      </c>
      <c r="H17" s="110">
        <f>SUMIF(Цены!A$2:A$200,C17,Цены!D$2:D$200)</f>
        <v>0</v>
      </c>
      <c r="I17" s="137">
        <f t="shared" si="3"/>
        <v>0</v>
      </c>
    </row>
    <row r="18" spans="1:9" s="160" customFormat="1" ht="15.75" x14ac:dyDescent="0.25">
      <c r="A18" s="160" t="str">
        <f t="shared" si="1"/>
        <v>Ц_21.6</v>
      </c>
      <c r="B18" s="160" t="str">
        <f>'Парам заказа'!A$8</f>
        <v>Ц_2</v>
      </c>
      <c r="C18" s="161" t="s">
        <v>168</v>
      </c>
      <c r="D18" s="162" t="str">
        <f>VLOOKUP(C18,Справочники!$A:$B,2,FALSE)</f>
        <v>Химикаты</v>
      </c>
      <c r="E18" s="163" t="s">
        <v>79</v>
      </c>
      <c r="F18" s="163" t="s">
        <v>79</v>
      </c>
      <c r="G18" s="163" t="s">
        <v>79</v>
      </c>
      <c r="H18" s="163" t="s">
        <v>79</v>
      </c>
      <c r="I18" s="159">
        <f>SUM(I2,I10)</f>
        <v>246.69</v>
      </c>
    </row>
    <row r="19" spans="1:9" x14ac:dyDescent="0.2">
      <c r="A19" s="107" t="str">
        <f t="shared" si="1"/>
        <v>Ц_2</v>
      </c>
      <c r="B19" s="107" t="str">
        <f>'Парам заказа'!A$8</f>
        <v>Ц_2</v>
      </c>
    </row>
    <row r="20" spans="1:9" ht="15" x14ac:dyDescent="0.2">
      <c r="A20" s="257" t="s">
        <v>430</v>
      </c>
      <c r="B20" s="257"/>
      <c r="C20" s="257"/>
      <c r="D20" s="257"/>
      <c r="E20" s="257"/>
      <c r="F20" s="257"/>
      <c r="G20" s="257"/>
      <c r="H20" s="257"/>
      <c r="I20" s="107"/>
    </row>
    <row r="21" spans="1:9" x14ac:dyDescent="0.2">
      <c r="A21" s="107" t="str">
        <f t="shared" si="1"/>
        <v>Ц_2</v>
      </c>
      <c r="B21" s="107" t="str">
        <f>'Парам заказа'!A$8</f>
        <v>Ц_2</v>
      </c>
    </row>
    <row r="22" spans="1:9" x14ac:dyDescent="0.2">
      <c r="A22" s="107" t="str">
        <f t="shared" si="1"/>
        <v>Ц_2</v>
      </c>
      <c r="B22" s="107" t="str">
        <f>'Парам заказа'!A$8</f>
        <v>Ц_2</v>
      </c>
    </row>
    <row r="23" spans="1:9" x14ac:dyDescent="0.2">
      <c r="A23" s="107" t="str">
        <f t="shared" si="1"/>
        <v>Ц_2</v>
      </c>
      <c r="B23" s="107" t="str">
        <f t="shared" ref="B23:B44" si="4">B22</f>
        <v>Ц_2</v>
      </c>
    </row>
    <row r="24" spans="1:9" x14ac:dyDescent="0.2">
      <c r="A24" s="107" t="str">
        <f t="shared" si="1"/>
        <v>Ц_2</v>
      </c>
      <c r="B24" s="107" t="str">
        <f t="shared" si="4"/>
        <v>Ц_2</v>
      </c>
    </row>
    <row r="25" spans="1:9" x14ac:dyDescent="0.2">
      <c r="A25" s="107" t="str">
        <f t="shared" si="1"/>
        <v>Ц_2</v>
      </c>
      <c r="B25" s="107" t="str">
        <f t="shared" si="4"/>
        <v>Ц_2</v>
      </c>
    </row>
    <row r="26" spans="1:9" x14ac:dyDescent="0.2">
      <c r="A26" s="107" t="str">
        <f t="shared" si="1"/>
        <v>Ц_2</v>
      </c>
      <c r="B26" s="107" t="str">
        <f t="shared" si="4"/>
        <v>Ц_2</v>
      </c>
    </row>
    <row r="27" spans="1:9" x14ac:dyDescent="0.2">
      <c r="A27" s="107" t="str">
        <f t="shared" si="1"/>
        <v>Ц_2</v>
      </c>
      <c r="B27" s="107" t="str">
        <f t="shared" si="4"/>
        <v>Ц_2</v>
      </c>
    </row>
    <row r="28" spans="1:9" x14ac:dyDescent="0.2">
      <c r="A28" s="107" t="str">
        <f t="shared" si="1"/>
        <v>Ц_2</v>
      </c>
      <c r="B28" s="107" t="str">
        <f t="shared" si="4"/>
        <v>Ц_2</v>
      </c>
    </row>
    <row r="29" spans="1:9" x14ac:dyDescent="0.2">
      <c r="A29" s="107" t="str">
        <f t="shared" ref="A29:A44" si="5">CONCATENATE(B29,C28)</f>
        <v>Ц_2</v>
      </c>
      <c r="B29" s="107" t="str">
        <f t="shared" si="4"/>
        <v>Ц_2</v>
      </c>
    </row>
    <row r="30" spans="1:9" x14ac:dyDescent="0.2">
      <c r="A30" s="107" t="str">
        <f t="shared" si="5"/>
        <v>Ц_2</v>
      </c>
      <c r="B30" s="107" t="str">
        <f t="shared" si="4"/>
        <v>Ц_2</v>
      </c>
    </row>
    <row r="31" spans="1:9" x14ac:dyDescent="0.2">
      <c r="A31" s="107" t="str">
        <f t="shared" si="5"/>
        <v>Ц_2</v>
      </c>
      <c r="B31" s="107" t="str">
        <f t="shared" si="4"/>
        <v>Ц_2</v>
      </c>
    </row>
    <row r="32" spans="1:9" x14ac:dyDescent="0.2">
      <c r="A32" s="107" t="str">
        <f t="shared" si="5"/>
        <v>Ц_2</v>
      </c>
      <c r="B32" s="107" t="str">
        <f t="shared" si="4"/>
        <v>Ц_2</v>
      </c>
    </row>
    <row r="33" spans="1:2" x14ac:dyDescent="0.2">
      <c r="A33" s="107" t="str">
        <f t="shared" si="5"/>
        <v>Ц_2</v>
      </c>
      <c r="B33" s="107" t="str">
        <f t="shared" si="4"/>
        <v>Ц_2</v>
      </c>
    </row>
    <row r="34" spans="1:2" x14ac:dyDescent="0.2">
      <c r="A34" s="107" t="str">
        <f t="shared" si="5"/>
        <v>Ц_2</v>
      </c>
      <c r="B34" s="107" t="str">
        <f t="shared" si="4"/>
        <v>Ц_2</v>
      </c>
    </row>
    <row r="35" spans="1:2" x14ac:dyDescent="0.2">
      <c r="A35" s="107" t="str">
        <f t="shared" si="5"/>
        <v>Ц_2</v>
      </c>
      <c r="B35" s="107" t="str">
        <f t="shared" si="4"/>
        <v>Ц_2</v>
      </c>
    </row>
    <row r="36" spans="1:2" x14ac:dyDescent="0.2">
      <c r="A36" s="107" t="str">
        <f t="shared" si="5"/>
        <v>Ц_2</v>
      </c>
      <c r="B36" s="107" t="str">
        <f t="shared" si="4"/>
        <v>Ц_2</v>
      </c>
    </row>
    <row r="37" spans="1:2" x14ac:dyDescent="0.2">
      <c r="A37" s="107" t="str">
        <f t="shared" si="5"/>
        <v>Ц_2</v>
      </c>
      <c r="B37" s="107" t="str">
        <f t="shared" si="4"/>
        <v>Ц_2</v>
      </c>
    </row>
    <row r="38" spans="1:2" x14ac:dyDescent="0.2">
      <c r="A38" s="107" t="str">
        <f t="shared" si="5"/>
        <v>Ц_2</v>
      </c>
      <c r="B38" s="107" t="str">
        <f t="shared" si="4"/>
        <v>Ц_2</v>
      </c>
    </row>
    <row r="39" spans="1:2" x14ac:dyDescent="0.2">
      <c r="A39" s="107" t="str">
        <f t="shared" si="5"/>
        <v>Ц_2</v>
      </c>
      <c r="B39" s="107" t="str">
        <f t="shared" si="4"/>
        <v>Ц_2</v>
      </c>
    </row>
    <row r="40" spans="1:2" x14ac:dyDescent="0.2">
      <c r="A40" s="107" t="str">
        <f t="shared" si="5"/>
        <v>Ц_2</v>
      </c>
      <c r="B40" s="107" t="str">
        <f t="shared" si="4"/>
        <v>Ц_2</v>
      </c>
    </row>
    <row r="41" spans="1:2" x14ac:dyDescent="0.2">
      <c r="A41" s="107" t="str">
        <f t="shared" si="5"/>
        <v>Ц_2</v>
      </c>
      <c r="B41" s="107" t="str">
        <f t="shared" si="4"/>
        <v>Ц_2</v>
      </c>
    </row>
    <row r="42" spans="1:2" x14ac:dyDescent="0.2">
      <c r="A42" s="107" t="str">
        <f t="shared" si="5"/>
        <v>Ц_2</v>
      </c>
      <c r="B42" s="107" t="str">
        <f t="shared" si="4"/>
        <v>Ц_2</v>
      </c>
    </row>
    <row r="43" spans="1:2" x14ac:dyDescent="0.2">
      <c r="A43" s="107" t="str">
        <f t="shared" si="5"/>
        <v>Ц_2</v>
      </c>
      <c r="B43" s="107" t="str">
        <f t="shared" si="4"/>
        <v>Ц_2</v>
      </c>
    </row>
    <row r="44" spans="1:2" x14ac:dyDescent="0.2">
      <c r="A44" s="107" t="str">
        <f t="shared" si="5"/>
        <v>Ц_2</v>
      </c>
      <c r="B44" s="107" t="str">
        <f t="shared" si="4"/>
        <v>Ц_2</v>
      </c>
    </row>
  </sheetData>
  <mergeCells count="1">
    <mergeCell ref="A20:H20"/>
  </mergeCells>
  <phoneticPr fontId="14" type="noConversion"/>
  <hyperlinks>
    <hyperlink ref="A20:H20" location="Калькуляция!A1" display="Вернуться в калькуляцию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A6" sqref="A6"/>
    </sheetView>
  </sheetViews>
  <sheetFormatPr defaultRowHeight="12.75" x14ac:dyDescent="0.2"/>
  <cols>
    <col min="1" max="1" width="7.140625" style="43" customWidth="1"/>
    <col min="2" max="2" width="29.42578125" style="43" customWidth="1"/>
    <col min="3" max="3" width="16.7109375" style="43" customWidth="1"/>
    <col min="4" max="4" width="18.42578125" style="43" customWidth="1"/>
    <col min="5" max="5" width="16.7109375" style="43" customWidth="1"/>
    <col min="6" max="6" width="19.5703125" style="43" customWidth="1"/>
    <col min="7" max="31" width="6.28515625" style="107" customWidth="1"/>
    <col min="32" max="16384" width="9.140625" style="107"/>
  </cols>
  <sheetData>
    <row r="1" spans="1:28" s="21" customFormat="1" ht="25.5" x14ac:dyDescent="0.2">
      <c r="A1" s="118" t="s">
        <v>72</v>
      </c>
      <c r="B1" s="119" t="s">
        <v>374</v>
      </c>
      <c r="C1" s="119" t="s">
        <v>367</v>
      </c>
      <c r="D1" s="119" t="s">
        <v>375</v>
      </c>
      <c r="E1" s="119" t="s">
        <v>376</v>
      </c>
      <c r="F1" s="120" t="s">
        <v>311</v>
      </c>
    </row>
    <row r="2" spans="1:28" x14ac:dyDescent="0.2">
      <c r="A2" s="164" t="s">
        <v>170</v>
      </c>
      <c r="B2" s="158" t="str">
        <f>VLOOKUP(A2,Справочники!$A:$B,2,FALSE)</f>
        <v>Проволока для скрепления</v>
      </c>
      <c r="C2" s="158">
        <f>'Парам заказа'!C27</f>
        <v>1000</v>
      </c>
      <c r="D2" s="158">
        <f>SUMIF(Нормы!C2:C309,A2,Нормы!F2:F309)</f>
        <v>0.05</v>
      </c>
      <c r="E2" s="158">
        <f>SUMIF(Цены!A2:A300,Проволока!A2,Цены!D2:D300)</f>
        <v>0.3</v>
      </c>
      <c r="F2" s="165">
        <f>C2*D2*E2</f>
        <v>15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4" spans="1:28" ht="15" x14ac:dyDescent="0.2">
      <c r="A4" s="257" t="s">
        <v>430</v>
      </c>
      <c r="B4" s="257"/>
      <c r="C4" s="257"/>
      <c r="D4" s="257"/>
      <c r="E4" s="257"/>
      <c r="F4" s="257"/>
      <c r="G4" s="257"/>
      <c r="H4" s="257"/>
    </row>
    <row r="6" spans="1:28" s="21" customFormat="1" x14ac:dyDescent="0.2">
      <c r="A6" s="69"/>
      <c r="B6" s="69"/>
      <c r="C6" s="69"/>
      <c r="D6" s="69"/>
      <c r="E6" s="69"/>
      <c r="F6" s="69"/>
    </row>
    <row r="7" spans="1:28" s="21" customFormat="1" x14ac:dyDescent="0.2">
      <c r="A7" s="69"/>
      <c r="B7" s="69"/>
      <c r="C7" s="69"/>
      <c r="D7" s="69"/>
      <c r="E7" s="69"/>
      <c r="F7" s="69"/>
    </row>
    <row r="8" spans="1:28" s="21" customFormat="1" x14ac:dyDescent="0.2">
      <c r="A8" s="69"/>
      <c r="B8" s="69"/>
      <c r="C8" s="69"/>
      <c r="D8" s="69"/>
      <c r="E8" s="69"/>
      <c r="F8" s="69"/>
    </row>
    <row r="9" spans="1:28" s="21" customFormat="1" x14ac:dyDescent="0.2">
      <c r="A9" s="69"/>
      <c r="B9" s="69"/>
      <c r="C9" s="69"/>
      <c r="D9" s="69"/>
      <c r="E9" s="69"/>
      <c r="F9" s="69"/>
    </row>
    <row r="10" spans="1:28" s="21" customFormat="1" x14ac:dyDescent="0.2">
      <c r="A10" s="69"/>
      <c r="B10" s="69"/>
      <c r="C10" s="69"/>
      <c r="D10" s="69"/>
      <c r="E10" s="69"/>
      <c r="F10" s="69"/>
    </row>
    <row r="11" spans="1:28" s="21" customFormat="1" x14ac:dyDescent="0.2">
      <c r="A11" s="69"/>
      <c r="B11" s="69"/>
      <c r="C11" s="69"/>
      <c r="D11" s="69"/>
      <c r="E11" s="69"/>
      <c r="F11" s="69"/>
    </row>
    <row r="12" spans="1:28" s="21" customFormat="1" x14ac:dyDescent="0.2">
      <c r="A12" s="69"/>
      <c r="B12" s="69"/>
      <c r="C12" s="69"/>
      <c r="D12" s="69"/>
      <c r="E12" s="69"/>
      <c r="F12" s="69"/>
    </row>
    <row r="13" spans="1:28" s="21" customFormat="1" x14ac:dyDescent="0.2">
      <c r="A13" s="69"/>
      <c r="B13" s="69"/>
      <c r="C13" s="69"/>
      <c r="D13" s="69"/>
      <c r="E13" s="69"/>
      <c r="F13" s="69"/>
    </row>
    <row r="14" spans="1:28" s="21" customFormat="1" x14ac:dyDescent="0.2">
      <c r="A14" s="69"/>
      <c r="B14" s="69"/>
      <c r="C14" s="69"/>
      <c r="D14" s="69"/>
      <c r="E14" s="69"/>
      <c r="F14" s="69"/>
    </row>
    <row r="15" spans="1:28" s="21" customFormat="1" x14ac:dyDescent="0.2">
      <c r="A15" s="69"/>
      <c r="B15" s="69"/>
      <c r="C15" s="69"/>
      <c r="D15" s="69"/>
      <c r="E15" s="69"/>
      <c r="F15" s="69"/>
    </row>
    <row r="16" spans="1:28" s="21" customFormat="1" x14ac:dyDescent="0.2">
      <c r="A16" s="69"/>
      <c r="B16" s="69"/>
      <c r="C16" s="69"/>
      <c r="D16" s="69"/>
      <c r="E16" s="69"/>
      <c r="F16" s="69"/>
    </row>
    <row r="17" spans="1:6" s="21" customFormat="1" x14ac:dyDescent="0.2">
      <c r="A17" s="69"/>
      <c r="B17" s="69"/>
      <c r="C17" s="69"/>
      <c r="D17" s="69"/>
      <c r="E17" s="69"/>
      <c r="F17" s="69"/>
    </row>
    <row r="18" spans="1:6" s="21" customFormat="1" x14ac:dyDescent="0.2">
      <c r="A18" s="69"/>
      <c r="B18" s="69"/>
      <c r="C18" s="69"/>
      <c r="D18" s="69"/>
      <c r="E18" s="69"/>
      <c r="F18" s="69"/>
    </row>
    <row r="19" spans="1:6" s="21" customFormat="1" x14ac:dyDescent="0.2">
      <c r="A19" s="69"/>
      <c r="B19" s="69"/>
      <c r="C19" s="69"/>
      <c r="D19" s="69"/>
      <c r="E19" s="69"/>
      <c r="F19" s="69"/>
    </row>
  </sheetData>
  <mergeCells count="1">
    <mergeCell ref="A4:H4"/>
  </mergeCells>
  <phoneticPr fontId="14" type="noConversion"/>
  <hyperlinks>
    <hyperlink ref="A4:H4" location="Калькуляция!A1" display="Вернуться в калькуляцию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>
      <selection activeCell="A6" sqref="A6"/>
    </sheetView>
  </sheetViews>
  <sheetFormatPr defaultRowHeight="12.75" x14ac:dyDescent="0.2"/>
  <cols>
    <col min="1" max="1" width="7.140625" style="43" customWidth="1"/>
    <col min="2" max="2" width="34.42578125" style="43" customWidth="1"/>
    <col min="3" max="3" width="22" style="43" customWidth="1"/>
    <col min="4" max="4" width="18.42578125" style="43" customWidth="1"/>
    <col min="5" max="5" width="19.5703125" style="43" customWidth="1"/>
    <col min="6" max="30" width="6.28515625" style="107" customWidth="1"/>
    <col min="31" max="16384" width="9.140625" style="107"/>
  </cols>
  <sheetData>
    <row r="1" spans="1:27" s="21" customFormat="1" ht="25.5" x14ac:dyDescent="0.2">
      <c r="A1" s="118" t="s">
        <v>72</v>
      </c>
      <c r="B1" s="119" t="s">
        <v>374</v>
      </c>
      <c r="C1" s="119" t="s">
        <v>300</v>
      </c>
      <c r="D1" s="119" t="s">
        <v>379</v>
      </c>
      <c r="E1" s="120" t="s">
        <v>311</v>
      </c>
    </row>
    <row r="2" spans="1:27" x14ac:dyDescent="0.2">
      <c r="A2" s="164" t="s">
        <v>171</v>
      </c>
      <c r="B2" s="158" t="str">
        <f>VLOOKUP(A2,Справочники!$A:$B,2,FALSE)</f>
        <v>Скотч и бумага для упаковки тиража</v>
      </c>
      <c r="C2" s="158">
        <f>'Парам заказа'!C6</f>
        <v>4</v>
      </c>
      <c r="D2" s="167">
        <f>SUMIF(Нормы!C2:C309,A2,Нормы!F2:F309)</f>
        <v>0.2</v>
      </c>
      <c r="E2" s="165">
        <f>C2*D2</f>
        <v>0.8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4" spans="1:27" ht="15" x14ac:dyDescent="0.2">
      <c r="A4" s="257" t="s">
        <v>430</v>
      </c>
      <c r="B4" s="257"/>
      <c r="C4" s="257"/>
      <c r="D4" s="257"/>
      <c r="E4" s="257"/>
      <c r="F4" s="257"/>
      <c r="G4" s="257"/>
      <c r="H4" s="257"/>
    </row>
    <row r="6" spans="1:27" s="21" customFormat="1" x14ac:dyDescent="0.2">
      <c r="A6" s="69"/>
      <c r="B6" s="69"/>
      <c r="C6" s="69"/>
      <c r="D6" s="69"/>
      <c r="E6" s="69"/>
    </row>
    <row r="7" spans="1:27" s="21" customFormat="1" x14ac:dyDescent="0.2">
      <c r="A7" s="69"/>
      <c r="B7" s="69"/>
      <c r="C7" s="69"/>
      <c r="D7" s="69"/>
      <c r="E7" s="69"/>
    </row>
    <row r="8" spans="1:27" s="21" customFormat="1" x14ac:dyDescent="0.2">
      <c r="A8" s="69"/>
      <c r="B8" s="69"/>
      <c r="C8" s="69"/>
      <c r="D8" s="69"/>
      <c r="E8" s="69"/>
    </row>
    <row r="9" spans="1:27" s="21" customFormat="1" x14ac:dyDescent="0.2">
      <c r="A9" s="69"/>
      <c r="B9" s="69"/>
      <c r="C9" s="69"/>
      <c r="D9" s="69"/>
      <c r="E9" s="69"/>
    </row>
    <row r="10" spans="1:27" s="21" customFormat="1" x14ac:dyDescent="0.2">
      <c r="A10" s="69"/>
      <c r="B10" s="69"/>
      <c r="C10" s="69"/>
      <c r="D10" s="69"/>
      <c r="E10" s="69"/>
    </row>
    <row r="11" spans="1:27" s="21" customFormat="1" x14ac:dyDescent="0.2">
      <c r="A11" s="69"/>
      <c r="B11" s="69"/>
      <c r="C11" s="69"/>
      <c r="D11" s="69"/>
      <c r="E11" s="69"/>
    </row>
    <row r="12" spans="1:27" s="21" customFormat="1" x14ac:dyDescent="0.2">
      <c r="A12" s="69"/>
      <c r="B12" s="69"/>
      <c r="C12" s="69"/>
      <c r="D12" s="69"/>
      <c r="E12" s="69"/>
    </row>
    <row r="13" spans="1:27" s="21" customFormat="1" x14ac:dyDescent="0.2">
      <c r="A13" s="69"/>
      <c r="B13" s="69"/>
      <c r="C13" s="69"/>
      <c r="D13" s="69"/>
      <c r="E13" s="69"/>
    </row>
    <row r="14" spans="1:27" s="21" customFormat="1" x14ac:dyDescent="0.2">
      <c r="A14" s="69"/>
      <c r="B14" s="69"/>
      <c r="C14" s="69"/>
      <c r="D14" s="69"/>
      <c r="E14" s="69"/>
    </row>
    <row r="15" spans="1:27" s="21" customFormat="1" x14ac:dyDescent="0.2">
      <c r="A15" s="69"/>
      <c r="B15" s="69"/>
      <c r="C15" s="69"/>
      <c r="D15" s="69"/>
      <c r="E15" s="69"/>
    </row>
    <row r="16" spans="1:27" s="21" customFormat="1" x14ac:dyDescent="0.2">
      <c r="A16" s="69"/>
      <c r="B16" s="69"/>
      <c r="C16" s="69"/>
      <c r="D16" s="69"/>
      <c r="E16" s="69"/>
    </row>
    <row r="17" spans="1:5" s="21" customFormat="1" x14ac:dyDescent="0.2">
      <c r="A17" s="69"/>
      <c r="B17" s="69"/>
      <c r="C17" s="69"/>
      <c r="D17" s="69"/>
      <c r="E17" s="69"/>
    </row>
    <row r="18" spans="1:5" s="21" customFormat="1" x14ac:dyDescent="0.2">
      <c r="A18" s="69"/>
      <c r="B18" s="69"/>
      <c r="C18" s="69"/>
      <c r="D18" s="69"/>
      <c r="E18" s="69"/>
    </row>
    <row r="19" spans="1:5" s="21" customFormat="1" x14ac:dyDescent="0.2">
      <c r="A19" s="69"/>
      <c r="B19" s="69"/>
      <c r="C19" s="69"/>
      <c r="D19" s="69"/>
      <c r="E19" s="69"/>
    </row>
  </sheetData>
  <mergeCells count="1">
    <mergeCell ref="A4:H4"/>
  </mergeCells>
  <phoneticPr fontId="14" type="noConversion"/>
  <hyperlinks>
    <hyperlink ref="A4:H4" location="Калькуляция!A1" display="Вернуться в калькуляцию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>
      <selection activeCell="B5" sqref="B5"/>
    </sheetView>
  </sheetViews>
  <sheetFormatPr defaultRowHeight="12.75" x14ac:dyDescent="0.2"/>
  <cols>
    <col min="1" max="1" width="11.140625" style="43" customWidth="1"/>
    <col min="2" max="2" width="10.42578125" style="43" customWidth="1"/>
    <col min="3" max="3" width="9.7109375" style="43" customWidth="1"/>
    <col min="4" max="4" width="22.42578125" style="43" customWidth="1"/>
    <col min="5" max="5" width="16" style="43" customWidth="1"/>
    <col min="6" max="6" width="18.42578125" style="43" customWidth="1"/>
    <col min="7" max="7" width="19.5703125" style="43" customWidth="1"/>
    <col min="8" max="8" width="18.7109375" style="43" customWidth="1"/>
    <col min="9" max="9" width="18.5703125" style="43" customWidth="1"/>
    <col min="10" max="32" width="6.28515625" style="107" customWidth="1"/>
    <col min="33" max="16384" width="9.140625" style="107"/>
  </cols>
  <sheetData>
    <row r="1" spans="1:29" s="21" customFormat="1" ht="38.25" x14ac:dyDescent="0.2">
      <c r="A1" s="118" t="s">
        <v>356</v>
      </c>
      <c r="B1" s="118" t="s">
        <v>327</v>
      </c>
      <c r="C1" s="119" t="s">
        <v>72</v>
      </c>
      <c r="D1" s="119" t="s">
        <v>374</v>
      </c>
      <c r="E1" s="119" t="s">
        <v>380</v>
      </c>
      <c r="F1" s="119" t="s">
        <v>381</v>
      </c>
      <c r="G1" s="119" t="s">
        <v>383</v>
      </c>
      <c r="H1" s="119" t="s">
        <v>384</v>
      </c>
      <c r="I1" s="120" t="s">
        <v>385</v>
      </c>
    </row>
    <row r="2" spans="1:29" x14ac:dyDescent="0.2">
      <c r="A2" s="101"/>
      <c r="B2" s="101"/>
      <c r="C2" s="168" t="s">
        <v>172</v>
      </c>
      <c r="D2" s="112" t="str">
        <f>VLOOKUP(C2,Справочники!$A:$B,2,FALSE)</f>
        <v>Заработная плата</v>
      </c>
      <c r="E2" s="111">
        <f>SUM(E3:E9)</f>
        <v>66</v>
      </c>
      <c r="F2" s="111" t="s">
        <v>382</v>
      </c>
      <c r="G2" s="176">
        <f>SUM(G3:G9)</f>
        <v>215</v>
      </c>
      <c r="H2" s="111" t="s">
        <v>382</v>
      </c>
      <c r="I2" s="153">
        <f>SUM(I3:I9)</f>
        <v>30.100000000000005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x14ac:dyDescent="0.2">
      <c r="A3" s="92" t="str">
        <f>CONCATENATE(B3,C3)</f>
        <v>Ц_11.10</v>
      </c>
      <c r="B3" s="92" t="s">
        <v>190</v>
      </c>
      <c r="C3" s="169" t="s">
        <v>172</v>
      </c>
      <c r="D3" s="93" t="str">
        <f>VLOOKUP(C3,Справочники!$A:$B,2,FALSE)</f>
        <v>Заработная плата</v>
      </c>
      <c r="E3" s="110">
        <f>SUMIF('Парам заказа'!A$2:A$28,B3,'Парам заказа'!C$2:C$28)</f>
        <v>1</v>
      </c>
      <c r="F3" s="174">
        <f>SUMIF(Нормы!A$2:A$208,A3,Нормы!F$2:F$208)</f>
        <v>15</v>
      </c>
      <c r="G3" s="174">
        <f t="shared" ref="G3:G9" si="0">E3*F3</f>
        <v>15</v>
      </c>
      <c r="H3" s="177">
        <f>Нормы!F$8</f>
        <v>0.14000000000000001</v>
      </c>
      <c r="I3" s="172">
        <f>G3*H3</f>
        <v>2.1</v>
      </c>
    </row>
    <row r="4" spans="1:29" x14ac:dyDescent="0.2">
      <c r="A4" s="92" t="str">
        <f t="shared" ref="A4:A9" si="1">CONCATENATE(B4,C4)</f>
        <v>Ц_21.10</v>
      </c>
      <c r="B4" s="232" t="str">
        <f>'Парам заказа'!A8</f>
        <v>Ц_2</v>
      </c>
      <c r="C4" s="169" t="s">
        <v>172</v>
      </c>
      <c r="D4" s="93" t="str">
        <f>VLOOKUP(C4,Справочники!$A:$B,2,FALSE)</f>
        <v>Заработная плата</v>
      </c>
      <c r="E4" s="110">
        <f>SUMIF('Парам заказа'!A$2:A$28,B4,'Парам заказа'!C$2:C$28)</f>
        <v>20</v>
      </c>
      <c r="F4" s="174">
        <f>SUMIF(Нормы!A$2:A$208,A4,Нормы!F$2:F$208)</f>
        <v>10</v>
      </c>
      <c r="G4" s="174">
        <f t="shared" si="0"/>
        <v>200</v>
      </c>
      <c r="H4" s="177">
        <f>Нормы!F$8</f>
        <v>0.14000000000000001</v>
      </c>
      <c r="I4" s="172">
        <f t="shared" ref="I4:I9" si="2">G4*H4</f>
        <v>28.000000000000004</v>
      </c>
    </row>
    <row r="5" spans="1:29" x14ac:dyDescent="0.2">
      <c r="A5" s="92" t="str">
        <f t="shared" si="1"/>
        <v>Ц_71.10</v>
      </c>
      <c r="B5" s="92" t="s">
        <v>196</v>
      </c>
      <c r="C5" s="169" t="s">
        <v>172</v>
      </c>
      <c r="D5" s="93" t="str">
        <f>VLOOKUP(C5,Справочники!$A:$B,2,FALSE)</f>
        <v>Заработная плата</v>
      </c>
      <c r="E5" s="110">
        <f>SUMIF('Парам заказа'!A$2:A$28,B5,'Парам заказа'!C$2:C$28)</f>
        <v>7</v>
      </c>
      <c r="F5" s="174">
        <f>SUMIF(Нормы!A$2:A$208,A5,Нормы!F$2:F$208)</f>
        <v>0</v>
      </c>
      <c r="G5" s="174">
        <f t="shared" si="0"/>
        <v>0</v>
      </c>
      <c r="H5" s="177">
        <f>Нормы!F$8</f>
        <v>0.14000000000000001</v>
      </c>
      <c r="I5" s="172">
        <f t="shared" si="2"/>
        <v>0</v>
      </c>
    </row>
    <row r="6" spans="1:29" x14ac:dyDescent="0.2">
      <c r="A6" s="92" t="str">
        <f t="shared" si="1"/>
        <v>Ц_81.10</v>
      </c>
      <c r="B6" s="92" t="s">
        <v>197</v>
      </c>
      <c r="C6" s="169" t="s">
        <v>172</v>
      </c>
      <c r="D6" s="93" t="str">
        <f>VLOOKUP(C6,Справочники!$A:$B,2,FALSE)</f>
        <v>Заработная плата</v>
      </c>
      <c r="E6" s="110">
        <f>SUMIF('Парам заказа'!A$2:A$28,B6,'Парам заказа'!C$2:C$28)</f>
        <v>8</v>
      </c>
      <c r="F6" s="174">
        <f>SUMIF(Нормы!A$2:A$208,A6,Нормы!F$2:F$208)</f>
        <v>0</v>
      </c>
      <c r="G6" s="174">
        <f t="shared" si="0"/>
        <v>0</v>
      </c>
      <c r="H6" s="177">
        <f>Нормы!F$8</f>
        <v>0.14000000000000001</v>
      </c>
      <c r="I6" s="172">
        <f t="shared" si="2"/>
        <v>0</v>
      </c>
    </row>
    <row r="7" spans="1:29" x14ac:dyDescent="0.2">
      <c r="A7" s="92" t="str">
        <f t="shared" si="1"/>
        <v>Ц_91.10</v>
      </c>
      <c r="B7" s="92" t="s">
        <v>198</v>
      </c>
      <c r="C7" s="169" t="s">
        <v>172</v>
      </c>
      <c r="D7" s="93" t="str">
        <f>VLOOKUP(C7,Справочники!$A:$B,2,FALSE)</f>
        <v>Заработная плата</v>
      </c>
      <c r="E7" s="110">
        <f>SUMIF('Парам заказа'!A$2:A$28,B7,'Парам заказа'!C$2:C$28)</f>
        <v>9</v>
      </c>
      <c r="F7" s="174">
        <f>SUMIF(Нормы!A$2:A$208,A7,Нормы!F$2:F$208)</f>
        <v>0</v>
      </c>
      <c r="G7" s="174">
        <f t="shared" si="0"/>
        <v>0</v>
      </c>
      <c r="H7" s="177">
        <f>Нормы!F$8</f>
        <v>0.14000000000000001</v>
      </c>
      <c r="I7" s="172">
        <f t="shared" si="2"/>
        <v>0</v>
      </c>
    </row>
    <row r="8" spans="1:29" x14ac:dyDescent="0.2">
      <c r="A8" s="92" t="str">
        <f t="shared" si="1"/>
        <v>Ц_101.10</v>
      </c>
      <c r="B8" s="92" t="s">
        <v>199</v>
      </c>
      <c r="C8" s="169" t="s">
        <v>172</v>
      </c>
      <c r="D8" s="93" t="str">
        <f>VLOOKUP(C8,Справочники!$A:$B,2,FALSE)</f>
        <v>Заработная плата</v>
      </c>
      <c r="E8" s="110">
        <f>SUMIF('Парам заказа'!A$2:A$28,B8,'Парам заказа'!C$2:C$28)</f>
        <v>10</v>
      </c>
      <c r="F8" s="174">
        <f>SUMIF(Нормы!A$2:A$208,A8,Нормы!F$2:F$208)</f>
        <v>0</v>
      </c>
      <c r="G8" s="174">
        <f t="shared" si="0"/>
        <v>0</v>
      </c>
      <c r="H8" s="177">
        <f>Нормы!F$8</f>
        <v>0.14000000000000001</v>
      </c>
      <c r="I8" s="172">
        <f t="shared" si="2"/>
        <v>0</v>
      </c>
    </row>
    <row r="9" spans="1:29" x14ac:dyDescent="0.2">
      <c r="A9" s="170" t="str">
        <f t="shared" si="1"/>
        <v>Ц_111.10</v>
      </c>
      <c r="B9" s="170" t="s">
        <v>200</v>
      </c>
      <c r="C9" s="171" t="s">
        <v>172</v>
      </c>
      <c r="D9" s="115" t="str">
        <f>VLOOKUP(C9,Справочники!$A:$B,2,FALSE)</f>
        <v>Заработная плата</v>
      </c>
      <c r="E9" s="130">
        <f>SUMIF('Парам заказа'!A$2:A$28,B9,'Парам заказа'!C$2:C$28)</f>
        <v>11</v>
      </c>
      <c r="F9" s="175">
        <f>SUMIF(Нормы!A$2:A$208,A9,Нормы!F$2:F$208)</f>
        <v>0</v>
      </c>
      <c r="G9" s="175">
        <f t="shared" si="0"/>
        <v>0</v>
      </c>
      <c r="H9" s="178">
        <f>Нормы!F$8</f>
        <v>0.14000000000000001</v>
      </c>
      <c r="I9" s="173">
        <f t="shared" si="2"/>
        <v>0</v>
      </c>
    </row>
    <row r="10" spans="1:29" s="21" customFormat="1" x14ac:dyDescent="0.2">
      <c r="A10" s="69"/>
      <c r="B10" s="69"/>
      <c r="C10" s="69"/>
      <c r="D10" s="69"/>
      <c r="E10" s="69"/>
      <c r="F10" s="69"/>
      <c r="G10" s="69"/>
      <c r="H10" s="69"/>
      <c r="I10" s="69"/>
    </row>
    <row r="11" spans="1:29" ht="15" x14ac:dyDescent="0.2">
      <c r="A11" s="257" t="s">
        <v>430</v>
      </c>
      <c r="B11" s="257"/>
      <c r="C11" s="257"/>
      <c r="D11" s="257"/>
      <c r="E11" s="257"/>
      <c r="F11" s="257"/>
      <c r="G11" s="257"/>
      <c r="H11" s="257"/>
      <c r="I11" s="107"/>
    </row>
    <row r="12" spans="1:29" s="21" customFormat="1" x14ac:dyDescent="0.2">
      <c r="A12" s="69"/>
      <c r="B12" s="69"/>
      <c r="C12" s="69"/>
      <c r="D12" s="69"/>
      <c r="E12" s="69"/>
      <c r="F12" s="69"/>
      <c r="G12" s="69"/>
      <c r="H12" s="69"/>
      <c r="I12" s="69"/>
    </row>
    <row r="13" spans="1:29" s="21" customFormat="1" x14ac:dyDescent="0.2">
      <c r="A13" s="69"/>
      <c r="B13" s="69"/>
      <c r="C13" s="69"/>
      <c r="D13" s="69"/>
      <c r="E13" s="69"/>
      <c r="F13" s="69"/>
      <c r="G13" s="69"/>
      <c r="H13" s="69"/>
      <c r="I13" s="69"/>
    </row>
    <row r="14" spans="1:29" s="21" customFormat="1" x14ac:dyDescent="0.2">
      <c r="A14" s="69"/>
      <c r="B14" s="69"/>
      <c r="C14" s="69"/>
      <c r="D14" s="69"/>
      <c r="E14" s="69"/>
      <c r="F14" s="69"/>
      <c r="G14" s="69"/>
      <c r="H14" s="69"/>
      <c r="I14" s="69"/>
    </row>
    <row r="15" spans="1:29" s="21" customFormat="1" x14ac:dyDescent="0.2">
      <c r="A15" s="69"/>
      <c r="B15" s="69"/>
      <c r="C15" s="69"/>
      <c r="D15" s="69"/>
      <c r="E15" s="69"/>
      <c r="F15" s="69"/>
      <c r="G15" s="69"/>
      <c r="H15" s="69"/>
      <c r="I15" s="216"/>
    </row>
    <row r="16" spans="1:29" s="21" customFormat="1" x14ac:dyDescent="0.2">
      <c r="A16" s="69"/>
      <c r="B16" s="69"/>
      <c r="C16" s="69"/>
      <c r="D16" s="69"/>
      <c r="E16" s="69"/>
      <c r="F16" s="69"/>
      <c r="G16" s="69"/>
      <c r="H16" s="69"/>
      <c r="I16" s="69"/>
    </row>
    <row r="17" spans="1:9" s="21" customFormat="1" x14ac:dyDescent="0.2">
      <c r="A17" s="69"/>
      <c r="B17" s="69"/>
      <c r="C17" s="69"/>
      <c r="D17" s="69"/>
      <c r="E17" s="69"/>
      <c r="F17" s="69"/>
      <c r="G17" s="69"/>
      <c r="H17" s="69"/>
      <c r="I17" s="69"/>
    </row>
    <row r="18" spans="1:9" s="21" customFormat="1" x14ac:dyDescent="0.2">
      <c r="A18" s="69"/>
      <c r="B18" s="69"/>
      <c r="C18" s="69"/>
      <c r="D18" s="69"/>
      <c r="E18" s="69"/>
      <c r="F18" s="69"/>
      <c r="G18" s="69"/>
      <c r="H18" s="69"/>
      <c r="I18" s="69"/>
    </row>
    <row r="19" spans="1:9" s="21" customFormat="1" x14ac:dyDescent="0.2">
      <c r="A19" s="69"/>
      <c r="B19" s="69"/>
      <c r="C19" s="69"/>
      <c r="D19" s="69"/>
      <c r="E19" s="69"/>
      <c r="F19" s="69"/>
      <c r="G19" s="69"/>
      <c r="H19" s="69"/>
      <c r="I19" s="69"/>
    </row>
    <row r="20" spans="1:9" s="21" customFormat="1" x14ac:dyDescent="0.2">
      <c r="A20" s="69"/>
      <c r="B20" s="69"/>
      <c r="C20" s="69"/>
      <c r="D20" s="69"/>
      <c r="E20" s="69"/>
      <c r="F20" s="69"/>
      <c r="G20" s="69"/>
      <c r="H20" s="69"/>
      <c r="I20" s="69"/>
    </row>
    <row r="21" spans="1:9" s="21" customFormat="1" x14ac:dyDescent="0.2">
      <c r="A21" s="69"/>
      <c r="B21" s="69"/>
      <c r="C21" s="69"/>
      <c r="D21" s="69"/>
      <c r="E21" s="69"/>
      <c r="F21" s="69"/>
      <c r="G21" s="69"/>
      <c r="H21" s="69"/>
      <c r="I21" s="69"/>
    </row>
    <row r="22" spans="1:9" s="21" customFormat="1" x14ac:dyDescent="0.2">
      <c r="A22" s="69"/>
      <c r="B22" s="69"/>
      <c r="C22" s="69"/>
      <c r="D22" s="69"/>
      <c r="E22" s="69"/>
      <c r="F22" s="69"/>
      <c r="G22" s="69"/>
      <c r="H22" s="69"/>
      <c r="I22" s="69"/>
    </row>
  </sheetData>
  <mergeCells count="1">
    <mergeCell ref="A11:H11"/>
  </mergeCells>
  <phoneticPr fontId="14" type="noConversion"/>
  <hyperlinks>
    <hyperlink ref="A11:H11" location="Калькуляция!A1" display="Вернуться в калькуляцию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6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8.7109375" style="45" customWidth="1"/>
    <col min="2" max="2" width="62.85546875" style="45" customWidth="1"/>
    <col min="3" max="3" width="34.28515625" style="18" customWidth="1"/>
    <col min="4" max="8" width="6.28515625" style="18" customWidth="1"/>
    <col min="9" max="10" width="7" style="18" customWidth="1"/>
    <col min="11" max="11" width="9.7109375" style="18" customWidth="1"/>
    <col min="12" max="40" width="6.28515625" style="18" customWidth="1"/>
    <col min="41" max="16384" width="9.140625" style="18"/>
  </cols>
  <sheetData>
    <row r="1" spans="1:3" x14ac:dyDescent="0.2">
      <c r="A1" s="15" t="s">
        <v>72</v>
      </c>
      <c r="B1" s="16" t="s">
        <v>74</v>
      </c>
      <c r="C1" s="35"/>
    </row>
    <row r="2" spans="1:3" x14ac:dyDescent="0.2">
      <c r="A2" s="15"/>
      <c r="B2" s="16"/>
      <c r="C2" s="35"/>
    </row>
    <row r="3" spans="1:3" s="50" customFormat="1" ht="14.25" x14ac:dyDescent="0.2">
      <c r="A3" s="47"/>
      <c r="B3" s="48" t="s">
        <v>165</v>
      </c>
      <c r="C3" s="49"/>
    </row>
    <row r="4" spans="1:3" x14ac:dyDescent="0.2">
      <c r="A4" s="1" t="s">
        <v>122</v>
      </c>
      <c r="B4" s="46" t="s">
        <v>96</v>
      </c>
    </row>
    <row r="5" spans="1:3" x14ac:dyDescent="0.2">
      <c r="A5" s="1" t="s">
        <v>76</v>
      </c>
      <c r="B5" s="21" t="s">
        <v>0</v>
      </c>
    </row>
    <row r="6" spans="1:3" x14ac:dyDescent="0.2">
      <c r="A6" s="1" t="s">
        <v>81</v>
      </c>
      <c r="B6" s="21" t="s">
        <v>31</v>
      </c>
    </row>
    <row r="7" spans="1:3" x14ac:dyDescent="0.2">
      <c r="A7" s="1" t="s">
        <v>124</v>
      </c>
      <c r="B7" s="21" t="s">
        <v>1</v>
      </c>
    </row>
    <row r="8" spans="1:3" x14ac:dyDescent="0.2">
      <c r="A8" s="1" t="s">
        <v>166</v>
      </c>
      <c r="B8" s="21" t="s">
        <v>2</v>
      </c>
    </row>
    <row r="9" spans="1:3" x14ac:dyDescent="0.2">
      <c r="A9" s="1" t="s">
        <v>167</v>
      </c>
      <c r="B9" s="21" t="s">
        <v>3</v>
      </c>
    </row>
    <row r="10" spans="1:3" x14ac:dyDescent="0.2">
      <c r="A10" s="1" t="s">
        <v>168</v>
      </c>
      <c r="B10" s="21" t="s">
        <v>47</v>
      </c>
    </row>
    <row r="11" spans="1:3" x14ac:dyDescent="0.2">
      <c r="A11" s="1" t="s">
        <v>169</v>
      </c>
      <c r="B11" s="21" t="s">
        <v>4</v>
      </c>
      <c r="C11" s="35"/>
    </row>
    <row r="12" spans="1:3" x14ac:dyDescent="0.2">
      <c r="A12" s="1" t="s">
        <v>170</v>
      </c>
      <c r="B12" s="21" t="s">
        <v>5</v>
      </c>
      <c r="C12" s="35"/>
    </row>
    <row r="13" spans="1:3" x14ac:dyDescent="0.2">
      <c r="A13" s="1" t="s">
        <v>171</v>
      </c>
      <c r="B13" s="21" t="s">
        <v>6</v>
      </c>
      <c r="C13" s="35"/>
    </row>
    <row r="14" spans="1:3" x14ac:dyDescent="0.2">
      <c r="A14" s="1" t="s">
        <v>172</v>
      </c>
      <c r="B14" s="21" t="s">
        <v>9</v>
      </c>
      <c r="C14" s="35"/>
    </row>
    <row r="15" spans="1:3" x14ac:dyDescent="0.2">
      <c r="A15" s="1" t="s">
        <v>173</v>
      </c>
      <c r="B15" s="21" t="s">
        <v>10</v>
      </c>
      <c r="C15" s="35"/>
    </row>
    <row r="16" spans="1:3" x14ac:dyDescent="0.2">
      <c r="A16" s="1" t="s">
        <v>174</v>
      </c>
      <c r="B16" s="21" t="s">
        <v>7</v>
      </c>
      <c r="C16" s="35"/>
    </row>
    <row r="17" spans="1:3" x14ac:dyDescent="0.2">
      <c r="A17" s="1" t="s">
        <v>125</v>
      </c>
      <c r="B17" s="46" t="s">
        <v>97</v>
      </c>
      <c r="C17" s="35"/>
    </row>
    <row r="18" spans="1:3" x14ac:dyDescent="0.2">
      <c r="A18" s="1" t="s">
        <v>84</v>
      </c>
      <c r="B18" s="21" t="s">
        <v>8</v>
      </c>
      <c r="C18" s="35"/>
    </row>
    <row r="19" spans="1:3" x14ac:dyDescent="0.2">
      <c r="A19" s="1" t="s">
        <v>87</v>
      </c>
      <c r="B19" s="21" t="s">
        <v>11</v>
      </c>
      <c r="C19" s="35"/>
    </row>
    <row r="20" spans="1:3" x14ac:dyDescent="0.2">
      <c r="A20" s="1" t="s">
        <v>175</v>
      </c>
      <c r="B20" s="21" t="s">
        <v>12</v>
      </c>
      <c r="C20" s="35"/>
    </row>
    <row r="21" spans="1:3" x14ac:dyDescent="0.2">
      <c r="A21" s="1" t="s">
        <v>176</v>
      </c>
      <c r="B21" s="21" t="s">
        <v>418</v>
      </c>
      <c r="C21" s="35"/>
    </row>
    <row r="22" spans="1:3" x14ac:dyDescent="0.2">
      <c r="A22" s="1" t="s">
        <v>162</v>
      </c>
      <c r="B22" s="46" t="s">
        <v>14</v>
      </c>
      <c r="C22" s="35"/>
    </row>
    <row r="23" spans="1:3" x14ac:dyDescent="0.2">
      <c r="A23" s="1" t="s">
        <v>177</v>
      </c>
      <c r="B23" s="21" t="s">
        <v>15</v>
      </c>
      <c r="C23" s="35"/>
    </row>
    <row r="24" spans="1:3" x14ac:dyDescent="0.2">
      <c r="A24" s="1" t="s">
        <v>178</v>
      </c>
      <c r="B24" s="21" t="s">
        <v>16</v>
      </c>
      <c r="C24" s="35"/>
    </row>
    <row r="25" spans="1:3" x14ac:dyDescent="0.2">
      <c r="A25" s="1" t="s">
        <v>179</v>
      </c>
      <c r="B25" s="21" t="s">
        <v>9</v>
      </c>
      <c r="C25" s="35"/>
    </row>
    <row r="26" spans="1:3" x14ac:dyDescent="0.2">
      <c r="A26" s="1" t="s">
        <v>180</v>
      </c>
      <c r="B26" s="21" t="s">
        <v>10</v>
      </c>
      <c r="C26" s="35"/>
    </row>
    <row r="27" spans="1:3" x14ac:dyDescent="0.2">
      <c r="A27" s="1" t="s">
        <v>181</v>
      </c>
      <c r="B27" s="21" t="s">
        <v>17</v>
      </c>
      <c r="C27" s="35"/>
    </row>
    <row r="28" spans="1:3" x14ac:dyDescent="0.2">
      <c r="A28" s="1" t="s">
        <v>182</v>
      </c>
      <c r="B28" s="21" t="s">
        <v>18</v>
      </c>
      <c r="C28" s="35"/>
    </row>
    <row r="29" spans="1:3" x14ac:dyDescent="0.2">
      <c r="A29" s="1" t="s">
        <v>183</v>
      </c>
      <c r="B29" s="21" t="s">
        <v>19</v>
      </c>
      <c r="C29" s="35"/>
    </row>
    <row r="30" spans="1:3" x14ac:dyDescent="0.2">
      <c r="A30" s="1" t="s">
        <v>184</v>
      </c>
      <c r="B30" s="21" t="s">
        <v>20</v>
      </c>
      <c r="C30" s="35"/>
    </row>
    <row r="31" spans="1:3" x14ac:dyDescent="0.2">
      <c r="A31" s="1" t="s">
        <v>185</v>
      </c>
      <c r="B31" s="21" t="s">
        <v>21</v>
      </c>
      <c r="C31" s="35"/>
    </row>
    <row r="32" spans="1:3" x14ac:dyDescent="0.2">
      <c r="A32" s="1" t="s">
        <v>186</v>
      </c>
      <c r="B32" s="21" t="s">
        <v>22</v>
      </c>
      <c r="C32" s="35"/>
    </row>
    <row r="33" spans="1:40" x14ac:dyDescent="0.2">
      <c r="A33" s="1" t="s">
        <v>187</v>
      </c>
      <c r="B33" s="21" t="s">
        <v>23</v>
      </c>
      <c r="C33" s="35"/>
    </row>
    <row r="34" spans="1:40" x14ac:dyDescent="0.2">
      <c r="A34" s="1" t="s">
        <v>188</v>
      </c>
      <c r="B34" s="21" t="s">
        <v>24</v>
      </c>
      <c r="C34" s="35"/>
    </row>
    <row r="35" spans="1:40" x14ac:dyDescent="0.2">
      <c r="A35" s="1" t="s">
        <v>144</v>
      </c>
      <c r="B35" s="46" t="s">
        <v>29</v>
      </c>
      <c r="C35" s="35"/>
    </row>
    <row r="36" spans="1:40" x14ac:dyDescent="0.2">
      <c r="A36" s="1" t="s">
        <v>145</v>
      </c>
      <c r="B36" s="21" t="s">
        <v>25</v>
      </c>
      <c r="C36" s="35"/>
    </row>
    <row r="37" spans="1:40" x14ac:dyDescent="0.2">
      <c r="A37" s="1" t="s">
        <v>147</v>
      </c>
      <c r="B37" s="21" t="s">
        <v>26</v>
      </c>
      <c r="C37" s="35"/>
    </row>
    <row r="38" spans="1:40" x14ac:dyDescent="0.2">
      <c r="A38" s="1" t="s">
        <v>149</v>
      </c>
      <c r="B38" s="21" t="s">
        <v>27</v>
      </c>
      <c r="C38" s="35"/>
    </row>
    <row r="39" spans="1:40" x14ac:dyDescent="0.2">
      <c r="A39" s="1" t="s">
        <v>150</v>
      </c>
      <c r="B39" s="21" t="s">
        <v>28</v>
      </c>
      <c r="C39" s="35"/>
    </row>
    <row r="40" spans="1:40" x14ac:dyDescent="0.2">
      <c r="A40" s="1" t="s">
        <v>152</v>
      </c>
      <c r="B40" s="21" t="s">
        <v>9</v>
      </c>
      <c r="C40" s="35"/>
    </row>
    <row r="41" spans="1:40" x14ac:dyDescent="0.2">
      <c r="A41" s="1" t="s">
        <v>154</v>
      </c>
      <c r="B41" s="21" t="s">
        <v>10</v>
      </c>
      <c r="C41" s="35"/>
    </row>
    <row r="42" spans="1:40" s="39" customFormat="1" ht="13.5" thickBot="1" x14ac:dyDescent="0.25">
      <c r="A42" s="37" t="s">
        <v>79</v>
      </c>
      <c r="B42" s="38" t="s">
        <v>80</v>
      </c>
    </row>
    <row r="43" spans="1:40" ht="14.25" x14ac:dyDescent="0.2">
      <c r="A43" s="15"/>
      <c r="B43" s="17"/>
      <c r="C43" s="35"/>
    </row>
    <row r="44" spans="1:40" ht="14.25" x14ac:dyDescent="0.2">
      <c r="A44" s="15"/>
      <c r="B44" s="17"/>
      <c r="C44" s="35"/>
    </row>
    <row r="45" spans="1:40" s="53" customFormat="1" ht="14.25" x14ac:dyDescent="0.2">
      <c r="A45" s="51"/>
      <c r="B45" s="48" t="s">
        <v>164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N45" s="52"/>
    </row>
    <row r="46" spans="1:40" x14ac:dyDescent="0.2">
      <c r="A46" s="2" t="s">
        <v>189</v>
      </c>
      <c r="B46" s="13" t="s">
        <v>163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</row>
    <row r="47" spans="1:40" x14ac:dyDescent="0.2">
      <c r="A47" s="2" t="s">
        <v>190</v>
      </c>
      <c r="B47" s="21" t="s">
        <v>32</v>
      </c>
    </row>
    <row r="48" spans="1:40" x14ac:dyDescent="0.2">
      <c r="A48" s="2" t="s">
        <v>191</v>
      </c>
      <c r="B48" s="13" t="s">
        <v>34</v>
      </c>
      <c r="C48" s="14"/>
    </row>
    <row r="49" spans="1:3" x14ac:dyDescent="0.2">
      <c r="A49" s="2" t="s">
        <v>192</v>
      </c>
      <c r="B49" s="13" t="s">
        <v>35</v>
      </c>
      <c r="C49" s="14"/>
    </row>
    <row r="50" spans="1:3" x14ac:dyDescent="0.2">
      <c r="A50" s="2" t="s">
        <v>193</v>
      </c>
      <c r="B50" s="13" t="s">
        <v>36</v>
      </c>
    </row>
    <row r="51" spans="1:3" x14ac:dyDescent="0.2">
      <c r="A51" s="2" t="s">
        <v>194</v>
      </c>
      <c r="B51" s="13" t="s">
        <v>41</v>
      </c>
      <c r="C51" s="14"/>
    </row>
    <row r="52" spans="1:3" x14ac:dyDescent="0.2">
      <c r="A52" s="2" t="s">
        <v>195</v>
      </c>
      <c r="B52" s="13" t="s">
        <v>42</v>
      </c>
      <c r="C52" s="14"/>
    </row>
    <row r="53" spans="1:3" x14ac:dyDescent="0.2">
      <c r="A53" s="2" t="s">
        <v>196</v>
      </c>
      <c r="B53" s="21" t="s">
        <v>431</v>
      </c>
    </row>
    <row r="54" spans="1:3" x14ac:dyDescent="0.2">
      <c r="A54" s="2" t="s">
        <v>197</v>
      </c>
      <c r="B54" s="21" t="s">
        <v>433</v>
      </c>
      <c r="C54" s="14"/>
    </row>
    <row r="55" spans="1:3" x14ac:dyDescent="0.2">
      <c r="A55" s="2" t="s">
        <v>198</v>
      </c>
      <c r="B55" s="21" t="s">
        <v>43</v>
      </c>
      <c r="C55" s="14"/>
    </row>
    <row r="56" spans="1:3" x14ac:dyDescent="0.2">
      <c r="A56" s="2" t="s">
        <v>199</v>
      </c>
      <c r="B56" s="21" t="s">
        <v>432</v>
      </c>
    </row>
    <row r="57" spans="1:3" x14ac:dyDescent="0.2">
      <c r="A57" s="2" t="s">
        <v>200</v>
      </c>
      <c r="B57" s="21" t="s">
        <v>45</v>
      </c>
      <c r="C57" s="14"/>
    </row>
    <row r="58" spans="1:3" x14ac:dyDescent="0.2">
      <c r="A58" s="2" t="s">
        <v>201</v>
      </c>
      <c r="B58" s="21" t="s">
        <v>90</v>
      </c>
      <c r="C58" s="14"/>
    </row>
    <row r="59" spans="1:3" x14ac:dyDescent="0.2">
      <c r="A59" s="2" t="s">
        <v>202</v>
      </c>
      <c r="B59" s="21" t="s">
        <v>89</v>
      </c>
    </row>
    <row r="60" spans="1:3" x14ac:dyDescent="0.2">
      <c r="A60" s="2" t="s">
        <v>203</v>
      </c>
      <c r="B60" s="21" t="s">
        <v>93</v>
      </c>
      <c r="C60" s="35"/>
    </row>
    <row r="61" spans="1:3" s="39" customFormat="1" ht="13.5" thickBot="1" x14ac:dyDescent="0.25">
      <c r="A61" s="37" t="s">
        <v>79</v>
      </c>
      <c r="B61" s="38" t="s">
        <v>80</v>
      </c>
    </row>
    <row r="62" spans="1:3" ht="14.25" x14ac:dyDescent="0.2">
      <c r="A62" s="15"/>
      <c r="B62" s="17"/>
      <c r="C62" s="35"/>
    </row>
    <row r="63" spans="1:3" ht="14.25" x14ac:dyDescent="0.2">
      <c r="A63" s="15"/>
      <c r="B63" s="17"/>
      <c r="C63" s="35"/>
    </row>
    <row r="64" spans="1:3" s="53" customFormat="1" ht="14.25" x14ac:dyDescent="0.2">
      <c r="A64" s="47"/>
      <c r="B64" s="48" t="s">
        <v>98</v>
      </c>
      <c r="C64" s="54"/>
    </row>
    <row r="65" spans="1:33" x14ac:dyDescent="0.2">
      <c r="A65" s="2" t="s">
        <v>204</v>
      </c>
      <c r="B65" s="13" t="s">
        <v>0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</row>
    <row r="66" spans="1:33" x14ac:dyDescent="0.2">
      <c r="A66" s="2" t="s">
        <v>205</v>
      </c>
      <c r="B66" s="21" t="s">
        <v>99</v>
      </c>
    </row>
    <row r="67" spans="1:33" x14ac:dyDescent="0.2">
      <c r="A67" s="2" t="s">
        <v>206</v>
      </c>
      <c r="B67" s="21" t="s">
        <v>100</v>
      </c>
    </row>
    <row r="68" spans="1:33" x14ac:dyDescent="0.2">
      <c r="A68" s="2" t="s">
        <v>335</v>
      </c>
      <c r="B68" s="21" t="s">
        <v>334</v>
      </c>
    </row>
    <row r="69" spans="1:33" s="39" customFormat="1" ht="13.5" thickBot="1" x14ac:dyDescent="0.25">
      <c r="A69" s="37" t="s">
        <v>79</v>
      </c>
      <c r="B69" s="38" t="s">
        <v>80</v>
      </c>
    </row>
    <row r="70" spans="1:33" s="35" customFormat="1" x14ac:dyDescent="0.2">
      <c r="A70" s="40"/>
      <c r="B70" s="40"/>
    </row>
    <row r="71" spans="1:33" s="35" customFormat="1" x14ac:dyDescent="0.2">
      <c r="A71" s="40"/>
      <c r="B71" s="40"/>
    </row>
    <row r="72" spans="1:33" s="54" customFormat="1" ht="14.25" x14ac:dyDescent="0.2">
      <c r="A72" s="55"/>
      <c r="B72" s="48" t="s">
        <v>101</v>
      </c>
    </row>
    <row r="73" spans="1:33" x14ac:dyDescent="0.2">
      <c r="A73" s="40" t="s">
        <v>207</v>
      </c>
      <c r="B73" s="21" t="s">
        <v>1</v>
      </c>
    </row>
    <row r="74" spans="1:33" x14ac:dyDescent="0.2">
      <c r="A74" s="40" t="s">
        <v>208</v>
      </c>
      <c r="B74" s="21" t="s">
        <v>75</v>
      </c>
    </row>
    <row r="75" spans="1:33" x14ac:dyDescent="0.2">
      <c r="A75" s="40" t="s">
        <v>209</v>
      </c>
      <c r="B75" s="20" t="s">
        <v>60</v>
      </c>
    </row>
    <row r="76" spans="1:33" x14ac:dyDescent="0.2">
      <c r="A76" s="40" t="s">
        <v>211</v>
      </c>
      <c r="B76" s="19" t="s">
        <v>77</v>
      </c>
    </row>
    <row r="77" spans="1:33" x14ac:dyDescent="0.2">
      <c r="A77" s="40" t="s">
        <v>212</v>
      </c>
      <c r="B77" s="19" t="s">
        <v>78</v>
      </c>
    </row>
    <row r="78" spans="1:33" x14ac:dyDescent="0.2">
      <c r="A78" s="40" t="s">
        <v>210</v>
      </c>
      <c r="B78" s="20" t="s">
        <v>82</v>
      </c>
    </row>
    <row r="79" spans="1:33" x14ac:dyDescent="0.2">
      <c r="A79" s="40" t="s">
        <v>213</v>
      </c>
      <c r="B79" s="19" t="s">
        <v>353</v>
      </c>
    </row>
    <row r="80" spans="1:33" x14ac:dyDescent="0.2">
      <c r="A80" s="40" t="s">
        <v>214</v>
      </c>
      <c r="B80" s="19" t="s">
        <v>83</v>
      </c>
    </row>
    <row r="81" spans="1:2" x14ac:dyDescent="0.2">
      <c r="A81" s="40" t="s">
        <v>215</v>
      </c>
      <c r="B81" s="21" t="s">
        <v>62</v>
      </c>
    </row>
    <row r="82" spans="1:2" x14ac:dyDescent="0.2">
      <c r="A82" s="40" t="s">
        <v>216</v>
      </c>
      <c r="B82" s="20" t="s">
        <v>85</v>
      </c>
    </row>
    <row r="83" spans="1:2" x14ac:dyDescent="0.2">
      <c r="A83" s="40" t="s">
        <v>217</v>
      </c>
      <c r="B83" s="20" t="s">
        <v>86</v>
      </c>
    </row>
    <row r="84" spans="1:2" s="39" customFormat="1" ht="13.5" thickBot="1" x14ac:dyDescent="0.25">
      <c r="A84" s="37" t="s">
        <v>79</v>
      </c>
      <c r="B84" s="38" t="s">
        <v>80</v>
      </c>
    </row>
    <row r="85" spans="1:2" s="35" customFormat="1" x14ac:dyDescent="0.2">
      <c r="A85" s="40"/>
      <c r="B85" s="40"/>
    </row>
    <row r="86" spans="1:2" x14ac:dyDescent="0.2">
      <c r="A86" s="43"/>
      <c r="B86" s="43"/>
    </row>
    <row r="87" spans="1:2" s="53" customFormat="1" ht="14.25" x14ac:dyDescent="0.2">
      <c r="A87" s="56"/>
      <c r="B87" s="48" t="s">
        <v>102</v>
      </c>
    </row>
    <row r="88" spans="1:2" x14ac:dyDescent="0.2">
      <c r="A88" s="40" t="s">
        <v>218</v>
      </c>
      <c r="B88" s="21" t="s">
        <v>7</v>
      </c>
    </row>
    <row r="89" spans="1:2" x14ac:dyDescent="0.2">
      <c r="A89" s="40" t="s">
        <v>219</v>
      </c>
      <c r="B89" s="21" t="s">
        <v>103</v>
      </c>
    </row>
    <row r="90" spans="1:2" x14ac:dyDescent="0.2">
      <c r="A90" s="40" t="s">
        <v>220</v>
      </c>
      <c r="B90" s="21" t="s">
        <v>104</v>
      </c>
    </row>
    <row r="91" spans="1:2" x14ac:dyDescent="0.2">
      <c r="A91" s="40" t="s">
        <v>221</v>
      </c>
      <c r="B91" s="21" t="s">
        <v>105</v>
      </c>
    </row>
    <row r="92" spans="1:2" x14ac:dyDescent="0.2">
      <c r="A92" s="40" t="s">
        <v>222</v>
      </c>
      <c r="B92" s="21" t="s">
        <v>106</v>
      </c>
    </row>
    <row r="93" spans="1:2" x14ac:dyDescent="0.2">
      <c r="A93" s="40" t="s">
        <v>223</v>
      </c>
      <c r="B93" s="21" t="s">
        <v>107</v>
      </c>
    </row>
    <row r="94" spans="1:2" x14ac:dyDescent="0.2">
      <c r="A94" s="40" t="s">
        <v>224</v>
      </c>
      <c r="B94" s="21" t="s">
        <v>108</v>
      </c>
    </row>
    <row r="95" spans="1:2" x14ac:dyDescent="0.2">
      <c r="A95" s="40" t="s">
        <v>225</v>
      </c>
      <c r="B95" s="21" t="s">
        <v>109</v>
      </c>
    </row>
    <row r="96" spans="1:2" x14ac:dyDescent="0.2">
      <c r="A96" s="40" t="s">
        <v>226</v>
      </c>
      <c r="B96" s="21" t="s">
        <v>110</v>
      </c>
    </row>
    <row r="97" spans="1:40" x14ac:dyDescent="0.2">
      <c r="A97" s="40" t="s">
        <v>227</v>
      </c>
      <c r="B97" s="21" t="s">
        <v>111</v>
      </c>
    </row>
    <row r="98" spans="1:40" x14ac:dyDescent="0.2">
      <c r="A98" s="40" t="s">
        <v>228</v>
      </c>
      <c r="B98" s="21" t="s">
        <v>112</v>
      </c>
    </row>
    <row r="99" spans="1:40" x14ac:dyDescent="0.2">
      <c r="A99" s="40" t="s">
        <v>229</v>
      </c>
      <c r="B99" s="21" t="s">
        <v>113</v>
      </c>
    </row>
    <row r="100" spans="1:40" s="39" customFormat="1" ht="13.5" thickBot="1" x14ac:dyDescent="0.25">
      <c r="A100" s="37" t="s">
        <v>79</v>
      </c>
      <c r="B100" s="38" t="s">
        <v>80</v>
      </c>
    </row>
    <row r="101" spans="1:40" x14ac:dyDescent="0.2">
      <c r="A101" s="36"/>
      <c r="B101" s="36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</row>
    <row r="102" spans="1:40" x14ac:dyDescent="0.2">
      <c r="A102" s="36"/>
      <c r="B102" s="36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</row>
    <row r="103" spans="1:40" s="53" customFormat="1" ht="14.25" x14ac:dyDescent="0.2">
      <c r="A103" s="56"/>
      <c r="B103" s="48" t="s">
        <v>114</v>
      </c>
    </row>
    <row r="104" spans="1:40" x14ac:dyDescent="0.2">
      <c r="A104" s="40" t="s">
        <v>279</v>
      </c>
      <c r="B104" s="21" t="s">
        <v>2</v>
      </c>
    </row>
    <row r="105" spans="1:40" x14ac:dyDescent="0.2">
      <c r="A105" s="40" t="s">
        <v>280</v>
      </c>
      <c r="B105" s="21" t="s">
        <v>298</v>
      </c>
    </row>
    <row r="106" spans="1:40" x14ac:dyDescent="0.2">
      <c r="A106" s="40" t="s">
        <v>281</v>
      </c>
      <c r="B106" s="21" t="s">
        <v>115</v>
      </c>
    </row>
    <row r="107" spans="1:40" x14ac:dyDescent="0.2">
      <c r="A107" s="40" t="s">
        <v>282</v>
      </c>
      <c r="B107" s="21" t="s">
        <v>116</v>
      </c>
    </row>
    <row r="108" spans="1:40" s="39" customFormat="1" ht="13.5" thickBot="1" x14ac:dyDescent="0.25">
      <c r="A108" s="37" t="s">
        <v>79</v>
      </c>
      <c r="B108" s="38" t="s">
        <v>80</v>
      </c>
    </row>
    <row r="109" spans="1:40" x14ac:dyDescent="0.2">
      <c r="A109" s="36"/>
      <c r="B109" s="36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</row>
    <row r="110" spans="1:40" x14ac:dyDescent="0.2">
      <c r="A110" s="36"/>
      <c r="B110" s="36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</row>
    <row r="111" spans="1:40" s="53" customFormat="1" ht="14.25" x14ac:dyDescent="0.2">
      <c r="B111" s="48" t="s">
        <v>230</v>
      </c>
    </row>
    <row r="112" spans="1:40" x14ac:dyDescent="0.2">
      <c r="A112" s="2" t="s">
        <v>231</v>
      </c>
      <c r="B112" s="21" t="s">
        <v>47</v>
      </c>
    </row>
    <row r="113" spans="1:40" x14ac:dyDescent="0.2">
      <c r="A113" s="2" t="s">
        <v>232</v>
      </c>
      <c r="B113" s="21" t="s">
        <v>117</v>
      </c>
    </row>
    <row r="114" spans="1:40" x14ac:dyDescent="0.2">
      <c r="A114" s="2" t="s">
        <v>233</v>
      </c>
      <c r="B114" s="21" t="s">
        <v>118</v>
      </c>
    </row>
    <row r="115" spans="1:40" x14ac:dyDescent="0.2">
      <c r="A115" s="2" t="s">
        <v>234</v>
      </c>
      <c r="B115" s="21" t="s">
        <v>119</v>
      </c>
    </row>
    <row r="116" spans="1:40" x14ac:dyDescent="0.2">
      <c r="A116" s="2" t="s">
        <v>235</v>
      </c>
      <c r="B116" s="21" t="s">
        <v>120</v>
      </c>
    </row>
    <row r="117" spans="1:40" x14ac:dyDescent="0.2">
      <c r="A117" s="2" t="s">
        <v>236</v>
      </c>
      <c r="B117" s="21" t="s">
        <v>136</v>
      </c>
    </row>
    <row r="118" spans="1:40" x14ac:dyDescent="0.2">
      <c r="A118" s="2" t="s">
        <v>237</v>
      </c>
      <c r="B118" s="21" t="s">
        <v>137</v>
      </c>
    </row>
    <row r="119" spans="1:40" x14ac:dyDescent="0.2">
      <c r="A119" s="2" t="s">
        <v>238</v>
      </c>
      <c r="B119" s="21" t="s">
        <v>138</v>
      </c>
    </row>
    <row r="120" spans="1:40" x14ac:dyDescent="0.2">
      <c r="A120" s="2" t="s">
        <v>239</v>
      </c>
      <c r="B120" s="21" t="s">
        <v>139</v>
      </c>
    </row>
    <row r="121" spans="1:40" x14ac:dyDescent="0.2">
      <c r="A121" s="2" t="s">
        <v>240</v>
      </c>
      <c r="B121" s="21" t="s">
        <v>140</v>
      </c>
    </row>
    <row r="122" spans="1:40" x14ac:dyDescent="0.2">
      <c r="A122" s="2" t="s">
        <v>241</v>
      </c>
      <c r="B122" s="21" t="s">
        <v>141</v>
      </c>
    </row>
    <row r="123" spans="1:40" x14ac:dyDescent="0.2">
      <c r="A123" s="2" t="s">
        <v>242</v>
      </c>
      <c r="B123" s="21" t="s">
        <v>142</v>
      </c>
    </row>
    <row r="124" spans="1:40" s="39" customFormat="1" ht="13.5" thickBot="1" x14ac:dyDescent="0.25">
      <c r="A124" s="37" t="s">
        <v>79</v>
      </c>
      <c r="B124" s="38" t="s">
        <v>80</v>
      </c>
    </row>
    <row r="125" spans="1:40" x14ac:dyDescent="0.2">
      <c r="A125" s="36"/>
      <c r="B125" s="36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</row>
    <row r="126" spans="1:40" x14ac:dyDescent="0.2">
      <c r="A126" s="36"/>
      <c r="B126" s="36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</row>
    <row r="127" spans="1:40" s="53" customFormat="1" ht="14.25" x14ac:dyDescent="0.2">
      <c r="B127" s="48" t="s">
        <v>121</v>
      </c>
    </row>
    <row r="128" spans="1:40" x14ac:dyDescent="0.2">
      <c r="A128" s="2" t="s">
        <v>243</v>
      </c>
      <c r="B128" s="21" t="s">
        <v>3</v>
      </c>
    </row>
    <row r="129" spans="1:33" x14ac:dyDescent="0.2">
      <c r="A129" s="2" t="s">
        <v>244</v>
      </c>
      <c r="B129" s="21" t="s">
        <v>123</v>
      </c>
    </row>
    <row r="130" spans="1:33" x14ac:dyDescent="0.2">
      <c r="A130" s="2" t="s">
        <v>246</v>
      </c>
      <c r="B130" s="20" t="s">
        <v>55</v>
      </c>
    </row>
    <row r="131" spans="1:33" x14ac:dyDescent="0.2">
      <c r="A131" s="2" t="s">
        <v>247</v>
      </c>
      <c r="B131" s="20" t="s">
        <v>56</v>
      </c>
    </row>
    <row r="132" spans="1:33" x14ac:dyDescent="0.2">
      <c r="A132" s="2" t="s">
        <v>248</v>
      </c>
      <c r="B132" s="20" t="s">
        <v>57</v>
      </c>
    </row>
    <row r="133" spans="1:33" x14ac:dyDescent="0.2">
      <c r="A133" s="2" t="s">
        <v>245</v>
      </c>
      <c r="B133" s="21" t="s">
        <v>126</v>
      </c>
    </row>
    <row r="134" spans="1:33" x14ac:dyDescent="0.2">
      <c r="A134" s="2" t="s">
        <v>249</v>
      </c>
      <c r="B134" s="20" t="s">
        <v>127</v>
      </c>
    </row>
    <row r="135" spans="1:33" x14ac:dyDescent="0.2">
      <c r="A135" s="2" t="s">
        <v>250</v>
      </c>
      <c r="B135" s="19" t="s">
        <v>128</v>
      </c>
    </row>
    <row r="136" spans="1:33" x14ac:dyDescent="0.2">
      <c r="A136" s="2" t="s">
        <v>251</v>
      </c>
      <c r="B136" s="19" t="s">
        <v>129</v>
      </c>
    </row>
    <row r="137" spans="1:33" x14ac:dyDescent="0.2">
      <c r="A137" s="2" t="s">
        <v>252</v>
      </c>
      <c r="B137" s="19" t="s">
        <v>130</v>
      </c>
    </row>
    <row r="138" spans="1:33" x14ac:dyDescent="0.2">
      <c r="A138" s="2" t="s">
        <v>253</v>
      </c>
      <c r="B138" s="19" t="s">
        <v>131</v>
      </c>
    </row>
    <row r="139" spans="1:33" x14ac:dyDescent="0.2">
      <c r="A139" s="2" t="s">
        <v>254</v>
      </c>
      <c r="B139" s="20" t="s">
        <v>132</v>
      </c>
    </row>
    <row r="140" spans="1:33" x14ac:dyDescent="0.2">
      <c r="A140" s="2" t="s">
        <v>255</v>
      </c>
      <c r="B140" s="19" t="s">
        <v>133</v>
      </c>
    </row>
    <row r="141" spans="1:33" x14ac:dyDescent="0.2">
      <c r="A141" s="2" t="s">
        <v>256</v>
      </c>
      <c r="B141" s="19" t="s">
        <v>134</v>
      </c>
    </row>
    <row r="142" spans="1:33" x14ac:dyDescent="0.2">
      <c r="A142" s="2" t="s">
        <v>257</v>
      </c>
      <c r="B142" s="19" t="s">
        <v>135</v>
      </c>
    </row>
    <row r="143" spans="1:33" s="39" customFormat="1" ht="13.5" thickBot="1" x14ac:dyDescent="0.25">
      <c r="A143" s="37" t="s">
        <v>79</v>
      </c>
      <c r="B143" s="38" t="s">
        <v>80</v>
      </c>
    </row>
    <row r="144" spans="1:33" x14ac:dyDescent="0.2">
      <c r="A144" s="36"/>
      <c r="B144" s="36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</row>
    <row r="145" spans="1:40" x14ac:dyDescent="0.2">
      <c r="A145" s="36"/>
      <c r="B145" s="36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</row>
    <row r="146" spans="1:40" s="53" customFormat="1" ht="14.25" x14ac:dyDescent="0.2">
      <c r="B146" s="48" t="s">
        <v>143</v>
      </c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</row>
    <row r="147" spans="1:40" x14ac:dyDescent="0.2">
      <c r="A147" s="2" t="s">
        <v>258</v>
      </c>
      <c r="B147" s="21" t="s">
        <v>4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</row>
    <row r="148" spans="1:40" x14ac:dyDescent="0.2">
      <c r="A148" s="2" t="s">
        <v>259</v>
      </c>
      <c r="B148" s="21" t="s">
        <v>69</v>
      </c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</row>
    <row r="149" spans="1:40" x14ac:dyDescent="0.2">
      <c r="A149" s="2" t="s">
        <v>260</v>
      </c>
      <c r="B149" s="21" t="s">
        <v>70</v>
      </c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</row>
    <row r="150" spans="1:40" s="39" customFormat="1" ht="13.5" thickBot="1" x14ac:dyDescent="0.25">
      <c r="A150" s="37" t="s">
        <v>79</v>
      </c>
      <c r="B150" s="38" t="s">
        <v>80</v>
      </c>
    </row>
    <row r="151" spans="1:40" s="35" customFormat="1" x14ac:dyDescent="0.2">
      <c r="A151" s="40"/>
      <c r="B151" s="41"/>
    </row>
    <row r="152" spans="1:40" x14ac:dyDescent="0.2">
      <c r="A152" s="36"/>
      <c r="B152" s="36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</row>
    <row r="153" spans="1:40" s="53" customFormat="1" ht="14.25" x14ac:dyDescent="0.2">
      <c r="B153" s="48" t="s">
        <v>261</v>
      </c>
    </row>
    <row r="154" spans="1:40" x14ac:dyDescent="0.2">
      <c r="A154" s="2" t="s">
        <v>262</v>
      </c>
      <c r="B154" s="21" t="s">
        <v>146</v>
      </c>
    </row>
    <row r="155" spans="1:40" x14ac:dyDescent="0.2">
      <c r="A155" s="2" t="s">
        <v>263</v>
      </c>
      <c r="B155" s="21" t="s">
        <v>148</v>
      </c>
    </row>
    <row r="156" spans="1:40" x14ac:dyDescent="0.2">
      <c r="A156" s="2" t="s">
        <v>264</v>
      </c>
      <c r="B156" s="21" t="s">
        <v>292</v>
      </c>
    </row>
    <row r="157" spans="1:40" x14ac:dyDescent="0.2">
      <c r="A157" s="2" t="s">
        <v>265</v>
      </c>
      <c r="B157" s="21" t="s">
        <v>293</v>
      </c>
    </row>
    <row r="158" spans="1:40" x14ac:dyDescent="0.2">
      <c r="A158" s="2" t="s">
        <v>266</v>
      </c>
      <c r="B158" s="21" t="s">
        <v>151</v>
      </c>
    </row>
    <row r="159" spans="1:40" x14ac:dyDescent="0.2">
      <c r="A159" s="2" t="s">
        <v>267</v>
      </c>
      <c r="B159" s="21" t="s">
        <v>153</v>
      </c>
    </row>
    <row r="160" spans="1:40" x14ac:dyDescent="0.2">
      <c r="A160" s="2" t="s">
        <v>268</v>
      </c>
      <c r="B160" s="21" t="s">
        <v>155</v>
      </c>
    </row>
    <row r="161" spans="1:4" x14ac:dyDescent="0.2">
      <c r="A161" s="2" t="s">
        <v>269</v>
      </c>
      <c r="B161" s="21" t="s">
        <v>156</v>
      </c>
    </row>
    <row r="162" spans="1:4" x14ac:dyDescent="0.2">
      <c r="A162" s="2" t="s">
        <v>270</v>
      </c>
      <c r="B162" s="21" t="s">
        <v>157</v>
      </c>
    </row>
    <row r="163" spans="1:4" x14ac:dyDescent="0.2">
      <c r="A163" s="2" t="s">
        <v>271</v>
      </c>
      <c r="B163" s="21" t="s">
        <v>158</v>
      </c>
    </row>
    <row r="164" spans="1:4" x14ac:dyDescent="0.2">
      <c r="A164" s="2" t="s">
        <v>272</v>
      </c>
      <c r="B164" s="21" t="s">
        <v>159</v>
      </c>
    </row>
    <row r="165" spans="1:4" x14ac:dyDescent="0.2">
      <c r="A165" s="2" t="s">
        <v>273</v>
      </c>
      <c r="B165" s="21" t="s">
        <v>160</v>
      </c>
    </row>
    <row r="166" spans="1:4" x14ac:dyDescent="0.2">
      <c r="A166" s="2" t="s">
        <v>274</v>
      </c>
      <c r="B166" s="21" t="s">
        <v>161</v>
      </c>
    </row>
    <row r="167" spans="1:4" s="39" customFormat="1" ht="13.5" thickBot="1" x14ac:dyDescent="0.25">
      <c r="A167" s="37" t="s">
        <v>79</v>
      </c>
      <c r="B167" s="38" t="s">
        <v>80</v>
      </c>
    </row>
    <row r="168" spans="1:4" x14ac:dyDescent="0.2">
      <c r="A168" s="1"/>
      <c r="B168" s="1"/>
    </row>
    <row r="170" spans="1:4" s="53" customFormat="1" ht="14.25" x14ac:dyDescent="0.2">
      <c r="B170" s="48" t="s">
        <v>305</v>
      </c>
    </row>
    <row r="171" spans="1:4" x14ac:dyDescent="0.2">
      <c r="A171" s="2" t="s">
        <v>306</v>
      </c>
      <c r="B171" s="21" t="s">
        <v>53</v>
      </c>
    </row>
    <row r="172" spans="1:4" x14ac:dyDescent="0.2">
      <c r="A172" s="2" t="s">
        <v>307</v>
      </c>
      <c r="B172" s="21" t="s">
        <v>54</v>
      </c>
    </row>
    <row r="173" spans="1:4" s="39" customFormat="1" ht="13.5" thickBot="1" x14ac:dyDescent="0.25">
      <c r="A173" s="37" t="s">
        <v>79</v>
      </c>
      <c r="B173" s="38" t="s">
        <v>80</v>
      </c>
    </row>
    <row r="175" spans="1:4" x14ac:dyDescent="0.2">
      <c r="B175" s="213"/>
      <c r="C175" s="255"/>
      <c r="D175" s="255"/>
    </row>
    <row r="176" spans="1:4" x14ac:dyDescent="0.2">
      <c r="B176" s="213"/>
    </row>
  </sheetData>
  <phoneticPr fontId="0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pane xSplit="2" ySplit="1" topLeftCell="C1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6" style="107" hidden="1" customWidth="1"/>
    <col min="2" max="2" width="4" style="107" hidden="1" customWidth="1"/>
    <col min="3" max="3" width="6.5703125" style="43" customWidth="1"/>
    <col min="4" max="4" width="26.42578125" style="43" customWidth="1"/>
    <col min="5" max="5" width="33.28515625" style="218" bestFit="1" customWidth="1"/>
    <col min="6" max="6" width="13.5703125" style="43" customWidth="1"/>
    <col min="7" max="8" width="17.42578125" style="43" customWidth="1"/>
    <col min="9" max="9" width="9.7109375" style="107" customWidth="1"/>
    <col min="10" max="38" width="6.28515625" style="107" customWidth="1"/>
    <col min="39" max="16384" width="9.140625" style="107"/>
  </cols>
  <sheetData>
    <row r="1" spans="1:8" ht="25.5" x14ac:dyDescent="0.2">
      <c r="C1" s="16" t="s">
        <v>72</v>
      </c>
      <c r="D1" s="16" t="s">
        <v>413</v>
      </c>
      <c r="E1" s="16" t="s">
        <v>386</v>
      </c>
      <c r="F1" s="16" t="s">
        <v>414</v>
      </c>
      <c r="G1" s="16" t="s">
        <v>417</v>
      </c>
      <c r="H1" s="16" t="s">
        <v>415</v>
      </c>
    </row>
    <row r="2" spans="1:8" s="21" customFormat="1" x14ac:dyDescent="0.2">
      <c r="C2" s="101" t="s">
        <v>122</v>
      </c>
      <c r="D2" s="77" t="str">
        <f>VLOOKUP(C2,Справочники!$A:$B,2,FALSE)</f>
        <v>Прямые производственные</v>
      </c>
      <c r="E2" s="234" t="s">
        <v>382</v>
      </c>
      <c r="F2" s="111" t="s">
        <v>382</v>
      </c>
      <c r="G2" s="111" t="s">
        <v>382</v>
      </c>
      <c r="H2" s="153">
        <f ca="1">Калькуляция!C3</f>
        <v>1148.115</v>
      </c>
    </row>
    <row r="3" spans="1:8" s="21" customFormat="1" x14ac:dyDescent="0.2">
      <c r="C3" s="101" t="s">
        <v>125</v>
      </c>
      <c r="D3" s="77" t="str">
        <f>VLOOKUP(C3,Справочники!$A:$B,2,FALSE)</f>
        <v>Общепроизводственные</v>
      </c>
      <c r="E3" s="234" t="s">
        <v>382</v>
      </c>
      <c r="F3" s="111" t="s">
        <v>382</v>
      </c>
      <c r="G3" s="111" t="s">
        <v>382</v>
      </c>
      <c r="H3" s="153">
        <f>SUM(H4,H12,H20,H28)</f>
        <v>894.45273109243703</v>
      </c>
    </row>
    <row r="4" spans="1:8" s="21" customFormat="1" x14ac:dyDescent="0.2">
      <c r="A4" s="21" t="str">
        <f>CONCATENATE(C4,B4)</f>
        <v>2.12.1</v>
      </c>
      <c r="B4" s="21" t="str">
        <f>C$4</f>
        <v>2.1</v>
      </c>
      <c r="C4" s="101" t="s">
        <v>84</v>
      </c>
      <c r="D4" s="77" t="str">
        <f>VLOOKUP(C4,Справочники!$A:$B,2,FALSE)</f>
        <v>Амортизация оборудования</v>
      </c>
      <c r="E4" s="234" t="s">
        <v>382</v>
      </c>
      <c r="F4" s="111" t="s">
        <v>382</v>
      </c>
      <c r="G4" s="111" t="s">
        <v>382</v>
      </c>
      <c r="H4" s="153">
        <f>SUM(H5:H11)</f>
        <v>20</v>
      </c>
    </row>
    <row r="5" spans="1:8" ht="15" customHeight="1" x14ac:dyDescent="0.2">
      <c r="A5" s="21" t="str">
        <f t="shared" ref="A5:A11" si="0">CONCATENATE(C5,B5)</f>
        <v>Ц_12.1</v>
      </c>
      <c r="B5" s="21" t="str">
        <f t="shared" ref="B5:B11" si="1">C$4</f>
        <v>2.1</v>
      </c>
      <c r="C5" s="92" t="s">
        <v>190</v>
      </c>
      <c r="D5" s="8" t="str">
        <f>VLOOKUP(C5,Справочники!$A:$B,2,FALSE)</f>
        <v>Цех допечатной подготовки</v>
      </c>
      <c r="E5" s="233" t="str">
        <f>VLOOKUP(A5,'Прогноз затрат'!A:I,8,FALSE)</f>
        <v>Нормативное время выполения заказов</v>
      </c>
      <c r="F5" s="235">
        <f>SUMIF('Парам заказа'!A$1:A$50,C5,'Парам заказа'!C$1:C$50)</f>
        <v>1</v>
      </c>
      <c r="G5" s="235">
        <f>VLOOKUP(A5,'Прогноз затрат'!A:J,10,FALSE)</f>
        <v>20</v>
      </c>
      <c r="H5" s="150">
        <f>F5*G5</f>
        <v>20</v>
      </c>
    </row>
    <row r="6" spans="1:8" x14ac:dyDescent="0.2">
      <c r="A6" s="21" t="str">
        <f t="shared" si="0"/>
        <v>Ц_22.1</v>
      </c>
      <c r="B6" s="21" t="str">
        <f t="shared" si="1"/>
        <v>2.1</v>
      </c>
      <c r="C6" s="230" t="str">
        <f>'Парам заказа'!A$8</f>
        <v>Ц_2</v>
      </c>
      <c r="D6" s="8" t="str">
        <f>VLOOKUP(C6,Справочники!$A:$B,2,FALSE)</f>
        <v>Печатная машина КВА 72</v>
      </c>
      <c r="E6" s="233" t="str">
        <f>VLOOKUP(A6,'Прогноз затрат'!A:I,8,FALSE)</f>
        <v>Нормативное время выполения заказов</v>
      </c>
      <c r="F6" s="235">
        <f>SUMIF('Парам заказа'!A$1:A$50,C6,'Парам заказа'!C$1:C$50)</f>
        <v>20</v>
      </c>
      <c r="G6" s="235">
        <f>VLOOKUP(A6,'Прогноз затрат'!A:J,10,FALSE)</f>
        <v>0</v>
      </c>
      <c r="H6" s="150">
        <f t="shared" ref="H6:H21" si="2">F6*G6</f>
        <v>0</v>
      </c>
    </row>
    <row r="7" spans="1:8" x14ac:dyDescent="0.2">
      <c r="A7" s="21" t="str">
        <f t="shared" si="0"/>
        <v>Ц_72.1</v>
      </c>
      <c r="B7" s="21" t="str">
        <f t="shared" si="1"/>
        <v>2.1</v>
      </c>
      <c r="C7" s="92" t="s">
        <v>196</v>
      </c>
      <c r="D7" s="8" t="str">
        <f>VLOOKUP(C7,Справочники!$A:$B,2,FALSE)</f>
        <v>Ножевая резка бумаги</v>
      </c>
      <c r="E7" s="233" t="str">
        <f>VLOOKUP(A7,'Прогноз затрат'!A:I,8,FALSE)</f>
        <v>Нормативное время выполения заказов</v>
      </c>
      <c r="F7" s="235">
        <f>SUMIF('Парам заказа'!A$1:A$50,C7,'Парам заказа'!C$1:C$50)</f>
        <v>7</v>
      </c>
      <c r="G7" s="235">
        <f>VLOOKUP(A7,'Прогноз затрат'!A:J,10,FALSE)</f>
        <v>0</v>
      </c>
      <c r="H7" s="150">
        <f t="shared" si="2"/>
        <v>0</v>
      </c>
    </row>
    <row r="8" spans="1:8" x14ac:dyDescent="0.2">
      <c r="A8" s="21" t="str">
        <f t="shared" si="0"/>
        <v>Ц_82.1</v>
      </c>
      <c r="B8" s="21" t="str">
        <f t="shared" si="1"/>
        <v>2.1</v>
      </c>
      <c r="C8" s="92" t="s">
        <v>197</v>
      </c>
      <c r="D8" s="8" t="str">
        <f>VLOOKUP(C8,Справочники!$A:$B,2,FALSE)</f>
        <v>Высечка</v>
      </c>
      <c r="E8" s="233" t="str">
        <f>VLOOKUP(A8,'Прогноз затрат'!A:I,8,FALSE)</f>
        <v>Нормативное время выполения заказов</v>
      </c>
      <c r="F8" s="235">
        <f>SUMIF('Парам заказа'!A$1:A$50,C8,'Парам заказа'!C$1:C$50)</f>
        <v>8</v>
      </c>
      <c r="G8" s="235">
        <f>VLOOKUP(A8,'Прогноз затрат'!A:J,10,FALSE)</f>
        <v>0</v>
      </c>
      <c r="H8" s="150">
        <f t="shared" si="2"/>
        <v>0</v>
      </c>
    </row>
    <row r="9" spans="1:8" x14ac:dyDescent="0.2">
      <c r="A9" s="21" t="str">
        <f t="shared" si="0"/>
        <v>Ц_92.1</v>
      </c>
      <c r="B9" s="21" t="str">
        <f t="shared" si="1"/>
        <v>2.1</v>
      </c>
      <c r="C9" s="92" t="s">
        <v>198</v>
      </c>
      <c r="D9" s="8" t="str">
        <f>VLOOKUP(C9,Справочники!$A:$B,2,FALSE)</f>
        <v>Фальцовка</v>
      </c>
      <c r="E9" s="233" t="str">
        <f>VLOOKUP(A9,'Прогноз затрат'!A:I,8,FALSE)</f>
        <v>Нормативное время выполения заказов</v>
      </c>
      <c r="F9" s="235">
        <f>SUMIF('Парам заказа'!A$1:A$50,C9,'Парам заказа'!C$1:C$50)</f>
        <v>9</v>
      </c>
      <c r="G9" s="235">
        <f>VLOOKUP(A9,'Прогноз затрат'!A:J,10,FALSE)</f>
        <v>0</v>
      </c>
      <c r="H9" s="150">
        <f t="shared" si="2"/>
        <v>0</v>
      </c>
    </row>
    <row r="10" spans="1:8" ht="25.5" x14ac:dyDescent="0.2">
      <c r="A10" s="21" t="str">
        <f t="shared" si="0"/>
        <v>Ц_102.1</v>
      </c>
      <c r="B10" s="21" t="str">
        <f t="shared" si="1"/>
        <v>2.1</v>
      </c>
      <c r="C10" s="92" t="s">
        <v>199</v>
      </c>
      <c r="D10" s="8" t="str">
        <f>VLOOKUP(C10,Справочники!$A:$B,2,FALSE)</f>
        <v>Биговка, перфорация и вырубка</v>
      </c>
      <c r="E10" s="233" t="str">
        <f>VLOOKUP(A10,'Прогноз затрат'!A:I,8,FALSE)</f>
        <v>Нормативное время выполения заказов</v>
      </c>
      <c r="F10" s="235">
        <f>SUMIF('Парам заказа'!A$1:A$50,C10,'Парам заказа'!C$1:C$50)</f>
        <v>10</v>
      </c>
      <c r="G10" s="235">
        <f>VLOOKUP(A10,'Прогноз затрат'!A:J,10,FALSE)</f>
        <v>0</v>
      </c>
      <c r="H10" s="150">
        <f t="shared" si="2"/>
        <v>0</v>
      </c>
    </row>
    <row r="11" spans="1:8" x14ac:dyDescent="0.2">
      <c r="A11" s="21" t="str">
        <f t="shared" si="0"/>
        <v>Ц_112.1</v>
      </c>
      <c r="B11" s="21" t="str">
        <f t="shared" si="1"/>
        <v>2.1</v>
      </c>
      <c r="C11" s="92" t="s">
        <v>200</v>
      </c>
      <c r="D11" s="8" t="str">
        <f>VLOOKUP(C11,Справочники!$A:$B,2,FALSE)</f>
        <v>ВШРА</v>
      </c>
      <c r="E11" s="233" t="str">
        <f>VLOOKUP(A11,'Прогноз затрат'!A:I,8,FALSE)</f>
        <v>Нормативное время выполения заказов</v>
      </c>
      <c r="F11" s="235">
        <f>SUMIF('Парам заказа'!A$1:A$50,C11,'Парам заказа'!C$1:C$50)</f>
        <v>11</v>
      </c>
      <c r="G11" s="235">
        <f>VLOOKUP(A11,'Прогноз затрат'!A:J,10,FALSE)</f>
        <v>0</v>
      </c>
      <c r="H11" s="150">
        <f t="shared" si="2"/>
        <v>0</v>
      </c>
    </row>
    <row r="12" spans="1:8" s="21" customFormat="1" x14ac:dyDescent="0.2">
      <c r="A12" s="21" t="str">
        <f>CONCATENATE(C12,B12)</f>
        <v>2.22.2</v>
      </c>
      <c r="B12" s="21" t="str">
        <f>C$12</f>
        <v>2.2</v>
      </c>
      <c r="C12" s="101" t="s">
        <v>87</v>
      </c>
      <c r="D12" s="77" t="str">
        <f>VLOOKUP(C12,Справочники!$A:$B,2,FALSE)</f>
        <v>Вспомогательные материалы</v>
      </c>
      <c r="E12" s="234" t="s">
        <v>382</v>
      </c>
      <c r="F12" s="111" t="s">
        <v>382</v>
      </c>
      <c r="G12" s="111" t="s">
        <v>382</v>
      </c>
      <c r="H12" s="153">
        <f>SUM(H13:H19)</f>
        <v>235.48214285714283</v>
      </c>
    </row>
    <row r="13" spans="1:8" x14ac:dyDescent="0.2">
      <c r="A13" s="21" t="str">
        <f t="shared" ref="A13:A19" si="3">CONCATENATE(C13,B13)</f>
        <v>Ц_12.2</v>
      </c>
      <c r="B13" s="21" t="str">
        <f t="shared" ref="B13:B19" si="4">C$12</f>
        <v>2.2</v>
      </c>
      <c r="C13" s="92" t="s">
        <v>190</v>
      </c>
      <c r="D13" s="8" t="str">
        <f>VLOOKUP(C13,Справочники!$A:$B,2,FALSE)</f>
        <v>Цех допечатной подготовки</v>
      </c>
      <c r="E13" s="233" t="str">
        <f>VLOOKUP(A13,'Прогноз затрат'!A:I,8,FALSE)</f>
        <v>Количество пластин</v>
      </c>
      <c r="F13" s="235">
        <f>'Парам заказа'!C$4</f>
        <v>3.7049999999999996</v>
      </c>
      <c r="G13" s="235">
        <f>VLOOKUP(A13,'Прогноз затрат'!A:J,10,FALSE)</f>
        <v>25</v>
      </c>
      <c r="H13" s="150">
        <f t="shared" si="2"/>
        <v>92.624999999999986</v>
      </c>
    </row>
    <row r="14" spans="1:8" x14ac:dyDescent="0.2">
      <c r="A14" s="21" t="str">
        <f t="shared" si="3"/>
        <v>Ц_22.2</v>
      </c>
      <c r="B14" s="21" t="str">
        <f t="shared" si="4"/>
        <v>2.2</v>
      </c>
      <c r="C14" s="230" t="str">
        <f>'Парам заказа'!A$8</f>
        <v>Ц_2</v>
      </c>
      <c r="D14" s="8" t="str">
        <f>VLOOKUP(C14,Справочники!$A:$B,2,FALSE)</f>
        <v>Печатная машина КВА 72</v>
      </c>
      <c r="E14" s="233" t="str">
        <f>VLOOKUP(A14,'Прогноз затрат'!A:I,8,FALSE)</f>
        <v>Количество краскопрогонов</v>
      </c>
      <c r="F14" s="235">
        <f>'Парам заказа'!C$10</f>
        <v>150</v>
      </c>
      <c r="G14" s="235">
        <f>VLOOKUP(A14,'Прогноз затрат'!A:J,10,FALSE)</f>
        <v>0.95238095238095233</v>
      </c>
      <c r="H14" s="150">
        <f t="shared" si="2"/>
        <v>142.85714285714286</v>
      </c>
    </row>
    <row r="15" spans="1:8" x14ac:dyDescent="0.2">
      <c r="A15" s="21" t="str">
        <f t="shared" si="3"/>
        <v>Ц_72.2</v>
      </c>
      <c r="B15" s="21" t="str">
        <f t="shared" si="4"/>
        <v>2.2</v>
      </c>
      <c r="C15" s="92" t="s">
        <v>196</v>
      </c>
      <c r="D15" s="8" t="str">
        <f>VLOOKUP(C15,Справочники!$A:$B,2,FALSE)</f>
        <v>Ножевая резка бумаги</v>
      </c>
      <c r="E15" s="233" t="str">
        <f>VLOOKUP(A15,'Прогноз затрат'!A:I,8,FALSE)</f>
        <v>Нормативное время выполения заказов</v>
      </c>
      <c r="F15" s="235">
        <f>SUMIF('Парам заказа'!A$1:A$50,C15,'Парам заказа'!C$1:C$50)</f>
        <v>7</v>
      </c>
      <c r="G15" s="235">
        <f>VLOOKUP(A15,'Прогноз затрат'!A:J,10,FALSE)</f>
        <v>0</v>
      </c>
      <c r="H15" s="150">
        <f t="shared" si="2"/>
        <v>0</v>
      </c>
    </row>
    <row r="16" spans="1:8" x14ac:dyDescent="0.2">
      <c r="A16" s="21" t="str">
        <f t="shared" si="3"/>
        <v>Ц_82.2</v>
      </c>
      <c r="B16" s="21" t="str">
        <f t="shared" si="4"/>
        <v>2.2</v>
      </c>
      <c r="C16" s="92" t="s">
        <v>197</v>
      </c>
      <c r="D16" s="8" t="str">
        <f>VLOOKUP(C16,Справочники!$A:$B,2,FALSE)</f>
        <v>Высечка</v>
      </c>
      <c r="E16" s="233" t="str">
        <f>VLOOKUP(A16,'Прогноз затрат'!A:I,8,FALSE)</f>
        <v>Нормативное время выполения заказов</v>
      </c>
      <c r="F16" s="235">
        <f>SUMIF('Парам заказа'!A$1:A$50,C16,'Парам заказа'!C$1:C$50)</f>
        <v>8</v>
      </c>
      <c r="G16" s="235">
        <f>VLOOKUP(A16,'Прогноз затрат'!A:J,10,FALSE)</f>
        <v>0</v>
      </c>
      <c r="H16" s="150">
        <f t="shared" si="2"/>
        <v>0</v>
      </c>
    </row>
    <row r="17" spans="1:8" x14ac:dyDescent="0.2">
      <c r="A17" s="21" t="str">
        <f t="shared" si="3"/>
        <v>Ц_92.2</v>
      </c>
      <c r="B17" s="21" t="str">
        <f t="shared" si="4"/>
        <v>2.2</v>
      </c>
      <c r="C17" s="92" t="s">
        <v>198</v>
      </c>
      <c r="D17" s="8" t="str">
        <f>VLOOKUP(C17,Справочники!$A:$B,2,FALSE)</f>
        <v>Фальцовка</v>
      </c>
      <c r="E17" s="233" t="str">
        <f>VLOOKUP(A17,'Прогноз затрат'!A:I,8,FALSE)</f>
        <v>Нормативное время выполения заказов</v>
      </c>
      <c r="F17" s="235">
        <f>SUMIF('Парам заказа'!A$1:A$50,C17,'Парам заказа'!C$1:C$50)</f>
        <v>9</v>
      </c>
      <c r="G17" s="235">
        <f>VLOOKUP(A17,'Прогноз затрат'!A:J,10,FALSE)</f>
        <v>0</v>
      </c>
      <c r="H17" s="150">
        <f t="shared" si="2"/>
        <v>0</v>
      </c>
    </row>
    <row r="18" spans="1:8" ht="25.5" x14ac:dyDescent="0.2">
      <c r="A18" s="21" t="str">
        <f t="shared" si="3"/>
        <v>Ц_102.2</v>
      </c>
      <c r="B18" s="21" t="str">
        <f t="shared" si="4"/>
        <v>2.2</v>
      </c>
      <c r="C18" s="92" t="s">
        <v>199</v>
      </c>
      <c r="D18" s="8" t="str">
        <f>VLOOKUP(C18,Справочники!$A:$B,2,FALSE)</f>
        <v>Биговка, перфорация и вырубка</v>
      </c>
      <c r="E18" s="233" t="str">
        <f>VLOOKUP(A18,'Прогноз затрат'!A:I,8,FALSE)</f>
        <v>Нормативное время выполения заказов</v>
      </c>
      <c r="F18" s="235">
        <f>SUMIF('Парам заказа'!A$1:A$50,C18,'Парам заказа'!C$1:C$50)</f>
        <v>10</v>
      </c>
      <c r="G18" s="235">
        <f>VLOOKUP(A18,'Прогноз затрат'!A:J,10,FALSE)</f>
        <v>0</v>
      </c>
      <c r="H18" s="150">
        <f t="shared" si="2"/>
        <v>0</v>
      </c>
    </row>
    <row r="19" spans="1:8" x14ac:dyDescent="0.2">
      <c r="A19" s="21" t="str">
        <f t="shared" si="3"/>
        <v>Ц_112.2</v>
      </c>
      <c r="B19" s="21" t="str">
        <f t="shared" si="4"/>
        <v>2.2</v>
      </c>
      <c r="C19" s="92" t="s">
        <v>200</v>
      </c>
      <c r="D19" s="8" t="str">
        <f>VLOOKUP(C19,Справочники!$A:$B,2,FALSE)</f>
        <v>ВШРА</v>
      </c>
      <c r="E19" s="233" t="str">
        <f>VLOOKUP(A19,'Прогноз затрат'!A:I,8,FALSE)</f>
        <v>Нормативное время выполения заказов</v>
      </c>
      <c r="F19" s="235">
        <f>SUMIF('Парам заказа'!A$1:A$50,C19,'Парам заказа'!C$1:C$50)</f>
        <v>11</v>
      </c>
      <c r="G19" s="235">
        <f>VLOOKUP(A19,'Прогноз затрат'!A:J,10,FALSE)</f>
        <v>0</v>
      </c>
      <c r="H19" s="150">
        <f t="shared" si="2"/>
        <v>0</v>
      </c>
    </row>
    <row r="20" spans="1:8" s="21" customFormat="1" ht="25.5" x14ac:dyDescent="0.2">
      <c r="A20" s="21" t="str">
        <f>CONCATENATE(C20,B20)</f>
        <v>2.32.3</v>
      </c>
      <c r="B20" s="21" t="str">
        <f>C$20</f>
        <v>2.3</v>
      </c>
      <c r="C20" s="101" t="s">
        <v>175</v>
      </c>
      <c r="D20" s="77" t="str">
        <f>VLOOKUP(C20,Справочники!$A:$B,2,FALSE)</f>
        <v>Запчасти для ремонта оборудования</v>
      </c>
      <c r="E20" s="234" t="s">
        <v>382</v>
      </c>
      <c r="F20" s="111" t="s">
        <v>382</v>
      </c>
      <c r="G20" s="111" t="s">
        <v>382</v>
      </c>
      <c r="H20" s="153">
        <f>SUM(H21:H27)</f>
        <v>262.5</v>
      </c>
    </row>
    <row r="21" spans="1:8" x14ac:dyDescent="0.2">
      <c r="A21" s="21" t="str">
        <f t="shared" ref="A21:A36" si="5">CONCATENATE(C21,B21)</f>
        <v>Ц_12.3</v>
      </c>
      <c r="B21" s="21" t="str">
        <f t="shared" ref="B21:B27" si="6">C$20</f>
        <v>2.3</v>
      </c>
      <c r="C21" s="92" t="s">
        <v>190</v>
      </c>
      <c r="D21" s="8" t="str">
        <f>VLOOKUP(C21,Справочники!$A:$B,2,FALSE)</f>
        <v>Цех допечатной подготовки</v>
      </c>
      <c r="E21" s="233" t="str">
        <f>VLOOKUP(A21,'Прогноз затрат'!A:I,8,FALSE)</f>
        <v>Количество пластин</v>
      </c>
      <c r="F21" s="235">
        <f>'Парам заказа'!C$4</f>
        <v>3.7049999999999996</v>
      </c>
      <c r="G21" s="235">
        <f>VLOOKUP(A21,'Прогноз затрат'!A:J,10,FALSE)</f>
        <v>0</v>
      </c>
      <c r="H21" s="150">
        <f t="shared" si="2"/>
        <v>0</v>
      </c>
    </row>
    <row r="22" spans="1:8" x14ac:dyDescent="0.2">
      <c r="A22" s="21" t="str">
        <f t="shared" si="5"/>
        <v>Ц_22.3</v>
      </c>
      <c r="B22" s="21" t="str">
        <f t="shared" si="6"/>
        <v>2.3</v>
      </c>
      <c r="C22" s="230" t="str">
        <f>'Парам заказа'!A$8</f>
        <v>Ц_2</v>
      </c>
      <c r="D22" s="8" t="str">
        <f>VLOOKUP(C22,Справочники!$A:$B,2,FALSE)</f>
        <v>Печатная машина КВА 72</v>
      </c>
      <c r="E22" s="233" t="str">
        <f>VLOOKUP(A22,'Прогноз затрат'!A:I,8,FALSE)</f>
        <v>Количество краскопрогонов</v>
      </c>
      <c r="F22" s="235">
        <f>'Парам заказа'!C$10</f>
        <v>150</v>
      </c>
      <c r="G22" s="235">
        <f>VLOOKUP(A22,'Прогноз затрат'!A:J,10,FALSE)</f>
        <v>0</v>
      </c>
      <c r="H22" s="150">
        <f t="shared" ref="H22:H27" si="7">F22*G22</f>
        <v>0</v>
      </c>
    </row>
    <row r="23" spans="1:8" x14ac:dyDescent="0.2">
      <c r="A23" s="21" t="str">
        <f t="shared" si="5"/>
        <v>Ц_72.3</v>
      </c>
      <c r="B23" s="21" t="str">
        <f t="shared" si="6"/>
        <v>2.3</v>
      </c>
      <c r="C23" s="92" t="s">
        <v>196</v>
      </c>
      <c r="D23" s="8" t="str">
        <f>VLOOKUP(C23,Справочники!$A:$B,2,FALSE)</f>
        <v>Ножевая резка бумаги</v>
      </c>
      <c r="E23" s="233" t="str">
        <f>VLOOKUP(A23,'Прогноз затрат'!A:I,8,FALSE)</f>
        <v>Нормативное время выполения заказов</v>
      </c>
      <c r="F23" s="235">
        <f>SUMIF('Парам заказа'!A$1:A$50,C23,'Парам заказа'!C$1:C$50)</f>
        <v>7</v>
      </c>
      <c r="G23" s="235">
        <f>VLOOKUP(A23,'Прогноз затрат'!A:J,10,FALSE)</f>
        <v>37.5</v>
      </c>
      <c r="H23" s="150">
        <f t="shared" si="7"/>
        <v>262.5</v>
      </c>
    </row>
    <row r="24" spans="1:8" x14ac:dyDescent="0.2">
      <c r="A24" s="21" t="str">
        <f t="shared" si="5"/>
        <v>Ц_82.3</v>
      </c>
      <c r="B24" s="21" t="str">
        <f t="shared" si="6"/>
        <v>2.3</v>
      </c>
      <c r="C24" s="92" t="s">
        <v>197</v>
      </c>
      <c r="D24" s="8" t="str">
        <f>VLOOKUP(C24,Справочники!$A:$B,2,FALSE)</f>
        <v>Высечка</v>
      </c>
      <c r="E24" s="233" t="str">
        <f>VLOOKUP(A24,'Прогноз затрат'!A:I,8,FALSE)</f>
        <v>Нормативное время выполения заказов</v>
      </c>
      <c r="F24" s="235">
        <f>SUMIF('Парам заказа'!A$1:A$50,C24,'Парам заказа'!C$1:C$50)</f>
        <v>8</v>
      </c>
      <c r="G24" s="235">
        <f>VLOOKUP(A24,'Прогноз затрат'!A:J,10,FALSE)</f>
        <v>0</v>
      </c>
      <c r="H24" s="150">
        <f t="shared" si="7"/>
        <v>0</v>
      </c>
    </row>
    <row r="25" spans="1:8" x14ac:dyDescent="0.2">
      <c r="A25" s="21" t="str">
        <f t="shared" si="5"/>
        <v>Ц_92.3</v>
      </c>
      <c r="B25" s="21" t="str">
        <f t="shared" si="6"/>
        <v>2.3</v>
      </c>
      <c r="C25" s="92" t="s">
        <v>198</v>
      </c>
      <c r="D25" s="8" t="str">
        <f>VLOOKUP(C25,Справочники!$A:$B,2,FALSE)</f>
        <v>Фальцовка</v>
      </c>
      <c r="E25" s="233" t="str">
        <f>VLOOKUP(A25,'Прогноз затрат'!A:I,8,FALSE)</f>
        <v>Нормативное время выполения заказов</v>
      </c>
      <c r="F25" s="235">
        <f>SUMIF('Парам заказа'!A$1:A$50,C25,'Парам заказа'!C$1:C$50)</f>
        <v>9</v>
      </c>
      <c r="G25" s="235">
        <f>VLOOKUP(A25,'Прогноз затрат'!A:J,10,FALSE)</f>
        <v>0</v>
      </c>
      <c r="H25" s="150">
        <f t="shared" si="7"/>
        <v>0</v>
      </c>
    </row>
    <row r="26" spans="1:8" ht="25.5" x14ac:dyDescent="0.2">
      <c r="A26" s="21" t="str">
        <f t="shared" si="5"/>
        <v>Ц_102.3</v>
      </c>
      <c r="B26" s="21" t="str">
        <f t="shared" si="6"/>
        <v>2.3</v>
      </c>
      <c r="C26" s="92" t="s">
        <v>199</v>
      </c>
      <c r="D26" s="8" t="str">
        <f>VLOOKUP(C26,Справочники!$A:$B,2,FALSE)</f>
        <v>Биговка, перфорация и вырубка</v>
      </c>
      <c r="E26" s="233" t="str">
        <f>VLOOKUP(A26,'Прогноз затрат'!A:I,8,FALSE)</f>
        <v>Нормативное время выполения заказов</v>
      </c>
      <c r="F26" s="235">
        <f>SUMIF('Парам заказа'!A$1:A$50,C26,'Парам заказа'!C$1:C$50)</f>
        <v>10</v>
      </c>
      <c r="G26" s="235">
        <f>VLOOKUP(A26,'Прогноз затрат'!A:J,10,FALSE)</f>
        <v>0</v>
      </c>
      <c r="H26" s="150">
        <f t="shared" si="7"/>
        <v>0</v>
      </c>
    </row>
    <row r="27" spans="1:8" x14ac:dyDescent="0.2">
      <c r="A27" s="21" t="str">
        <f t="shared" si="5"/>
        <v>Ц_112.3</v>
      </c>
      <c r="B27" s="21" t="str">
        <f t="shared" si="6"/>
        <v>2.3</v>
      </c>
      <c r="C27" s="92" t="s">
        <v>200</v>
      </c>
      <c r="D27" s="8" t="str">
        <f>VLOOKUP(C27,Справочники!$A:$B,2,FALSE)</f>
        <v>ВШРА</v>
      </c>
      <c r="E27" s="233" t="str">
        <f>VLOOKUP(A27,'Прогноз затрат'!A:I,8,FALSE)</f>
        <v>Нормативное время выполения заказов</v>
      </c>
      <c r="F27" s="235">
        <f>SUMIF('Парам заказа'!A$1:A$50,C27,'Парам заказа'!C$1:C$50)</f>
        <v>11</v>
      </c>
      <c r="G27" s="235">
        <f>VLOOKUP(A27,'Прогноз затрат'!A:J,10,FALSE)</f>
        <v>0</v>
      </c>
      <c r="H27" s="150">
        <f t="shared" si="7"/>
        <v>0</v>
      </c>
    </row>
    <row r="28" spans="1:8" ht="25.5" x14ac:dyDescent="0.2">
      <c r="A28" s="21" t="str">
        <f t="shared" si="5"/>
        <v>2.42.4</v>
      </c>
      <c r="B28" s="21" t="str">
        <f>C$28</f>
        <v>2.4</v>
      </c>
      <c r="C28" s="101" t="s">
        <v>176</v>
      </c>
      <c r="D28" s="77" t="str">
        <f>VLOOKUP(C28,Справочники!$A:$B,2,FALSE)</f>
        <v>Услуги стор орг-ий по рем и обслуж оборуд-я</v>
      </c>
      <c r="E28" s="234" t="s">
        <v>382</v>
      </c>
      <c r="F28" s="111" t="s">
        <v>382</v>
      </c>
      <c r="G28" s="111" t="s">
        <v>382</v>
      </c>
      <c r="H28" s="153">
        <f>SUM(H29:H35)</f>
        <v>376.47058823529414</v>
      </c>
    </row>
    <row r="29" spans="1:8" x14ac:dyDescent="0.2">
      <c r="A29" s="21" t="str">
        <f t="shared" si="5"/>
        <v>Ц_12.4</v>
      </c>
      <c r="B29" s="21" t="str">
        <f t="shared" ref="B29:B35" si="8">C$28</f>
        <v>2.4</v>
      </c>
      <c r="C29" s="92" t="s">
        <v>190</v>
      </c>
      <c r="D29" s="8" t="str">
        <f>VLOOKUP(C29,Справочники!$A:$B,2,FALSE)</f>
        <v>Цех допечатной подготовки</v>
      </c>
      <c r="E29" s="233" t="str">
        <f>VLOOKUP(A29,'Прогноз затрат'!A:I,8,FALSE)</f>
        <v>Количество пластин</v>
      </c>
      <c r="F29" s="235">
        <f>'Парам заказа'!C$4</f>
        <v>3.7049999999999996</v>
      </c>
      <c r="G29" s="235">
        <f>VLOOKUP(A29,'Прогноз затрат'!A:J,10,FALSE)</f>
        <v>0</v>
      </c>
      <c r="H29" s="150">
        <f>F29*G29</f>
        <v>0</v>
      </c>
    </row>
    <row r="30" spans="1:8" x14ac:dyDescent="0.2">
      <c r="A30" s="21" t="str">
        <f t="shared" si="5"/>
        <v>Ц_22.4</v>
      </c>
      <c r="B30" s="21" t="str">
        <f t="shared" si="8"/>
        <v>2.4</v>
      </c>
      <c r="C30" s="230" t="str">
        <f>'Парам заказа'!A$8</f>
        <v>Ц_2</v>
      </c>
      <c r="D30" s="8" t="str">
        <f>VLOOKUP(C30,Справочники!$A:$B,2,FALSE)</f>
        <v>Печатная машина КВА 72</v>
      </c>
      <c r="E30" s="233" t="str">
        <f>VLOOKUP(A30,'Прогноз затрат'!A:I,8,FALSE)</f>
        <v>Количество краскопрогонов</v>
      </c>
      <c r="F30" s="235">
        <f>'Парам заказа'!C$10</f>
        <v>150</v>
      </c>
      <c r="G30" s="235">
        <f>VLOOKUP(A30,'Прогноз затрат'!A:J,10,FALSE)</f>
        <v>0</v>
      </c>
      <c r="H30" s="150">
        <f t="shared" ref="H30:H35" si="9">F30*G30</f>
        <v>0</v>
      </c>
    </row>
    <row r="31" spans="1:8" x14ac:dyDescent="0.2">
      <c r="A31" s="21" t="str">
        <f t="shared" si="5"/>
        <v>Ц_72.4</v>
      </c>
      <c r="B31" s="21" t="str">
        <f t="shared" si="8"/>
        <v>2.4</v>
      </c>
      <c r="C31" s="92" t="s">
        <v>196</v>
      </c>
      <c r="D31" s="8" t="str">
        <f>VLOOKUP(C31,Справочники!$A:$B,2,FALSE)</f>
        <v>Ножевая резка бумаги</v>
      </c>
      <c r="E31" s="233" t="str">
        <f>VLOOKUP(A31,'Прогноз затрат'!A:I,8,FALSE)</f>
        <v>Нормативное время выполения заказов</v>
      </c>
      <c r="F31" s="235">
        <f>SUMIF('Парам заказа'!A$1:A$50,C31,'Парам заказа'!C$1:C$50)</f>
        <v>7</v>
      </c>
      <c r="G31" s="235">
        <f>VLOOKUP(A31,'Прогноз затрат'!A:J,10,FALSE)</f>
        <v>0</v>
      </c>
      <c r="H31" s="150">
        <f t="shared" si="9"/>
        <v>0</v>
      </c>
    </row>
    <row r="32" spans="1:8" x14ac:dyDescent="0.2">
      <c r="A32" s="21" t="str">
        <f t="shared" si="5"/>
        <v>Ц_82.4</v>
      </c>
      <c r="B32" s="21" t="str">
        <f t="shared" si="8"/>
        <v>2.4</v>
      </c>
      <c r="C32" s="92" t="s">
        <v>197</v>
      </c>
      <c r="D32" s="8" t="str">
        <f>VLOOKUP(C32,Справочники!$A:$B,2,FALSE)</f>
        <v>Высечка</v>
      </c>
      <c r="E32" s="233" t="str">
        <f>VLOOKUP(A32,'Прогноз затрат'!A:I,8,FALSE)</f>
        <v>Нормативное время выполения заказов</v>
      </c>
      <c r="F32" s="235">
        <f>SUMIF('Парам заказа'!A$1:A$50,C32,'Парам заказа'!C$1:C$50)</f>
        <v>8</v>
      </c>
      <c r="G32" s="235">
        <f>VLOOKUP(A32,'Прогноз затрат'!A:J,10,FALSE)</f>
        <v>47.058823529411768</v>
      </c>
      <c r="H32" s="150">
        <f t="shared" si="9"/>
        <v>376.47058823529414</v>
      </c>
    </row>
    <row r="33" spans="1:8" x14ac:dyDescent="0.2">
      <c r="A33" s="21" t="str">
        <f t="shared" si="5"/>
        <v>Ц_92.4</v>
      </c>
      <c r="B33" s="21" t="str">
        <f t="shared" si="8"/>
        <v>2.4</v>
      </c>
      <c r="C33" s="92" t="s">
        <v>198</v>
      </c>
      <c r="D33" s="8" t="str">
        <f>VLOOKUP(C33,Справочники!$A:$B,2,FALSE)</f>
        <v>Фальцовка</v>
      </c>
      <c r="E33" s="233" t="str">
        <f>VLOOKUP(A33,'Прогноз затрат'!A:I,8,FALSE)</f>
        <v>Нормативное время выполения заказов</v>
      </c>
      <c r="F33" s="235">
        <f>SUMIF('Парам заказа'!A$1:A$50,C33,'Парам заказа'!C$1:C$50)</f>
        <v>9</v>
      </c>
      <c r="G33" s="235">
        <f>VLOOKUP(A33,'Прогноз затрат'!A:J,10,FALSE)</f>
        <v>0</v>
      </c>
      <c r="H33" s="150">
        <f t="shared" si="9"/>
        <v>0</v>
      </c>
    </row>
    <row r="34" spans="1:8" ht="25.5" x14ac:dyDescent="0.2">
      <c r="A34" s="21" t="str">
        <f t="shared" si="5"/>
        <v>Ц_102.4</v>
      </c>
      <c r="B34" s="21" t="str">
        <f t="shared" si="8"/>
        <v>2.4</v>
      </c>
      <c r="C34" s="92" t="s">
        <v>199</v>
      </c>
      <c r="D34" s="8" t="str">
        <f>VLOOKUP(C34,Справочники!$A:$B,2,FALSE)</f>
        <v>Биговка, перфорация и вырубка</v>
      </c>
      <c r="E34" s="233" t="str">
        <f>VLOOKUP(A34,'Прогноз затрат'!A:I,8,FALSE)</f>
        <v>Нормативное время выполения заказов</v>
      </c>
      <c r="F34" s="235">
        <f>SUMIF('Парам заказа'!A$1:A$50,C34,'Парам заказа'!C$1:C$50)</f>
        <v>10</v>
      </c>
      <c r="G34" s="235">
        <f>VLOOKUP(A34,'Прогноз затрат'!A:J,10,FALSE)</f>
        <v>0</v>
      </c>
      <c r="H34" s="150">
        <f t="shared" si="9"/>
        <v>0</v>
      </c>
    </row>
    <row r="35" spans="1:8" x14ac:dyDescent="0.2">
      <c r="A35" s="21" t="str">
        <f t="shared" si="5"/>
        <v>Ц_112.4</v>
      </c>
      <c r="B35" s="21" t="str">
        <f t="shared" si="8"/>
        <v>2.4</v>
      </c>
      <c r="C35" s="92" t="s">
        <v>200</v>
      </c>
      <c r="D35" s="8" t="str">
        <f>VLOOKUP(C35,Справочники!$A:$B,2,FALSE)</f>
        <v>ВШРА</v>
      </c>
      <c r="E35" s="233" t="str">
        <f>VLOOKUP(A35,'Прогноз затрат'!A:I,8,FALSE)</f>
        <v>Нормативное время выполения заказов</v>
      </c>
      <c r="F35" s="235">
        <f>SUMIF('Парам заказа'!A$1:A$50,C35,'Парам заказа'!C$1:C$50)</f>
        <v>11</v>
      </c>
      <c r="G35" s="235">
        <f>VLOOKUP(A35,'Прогноз затрат'!A:J,10,FALSE)</f>
        <v>0</v>
      </c>
      <c r="H35" s="150">
        <f t="shared" si="9"/>
        <v>0</v>
      </c>
    </row>
    <row r="36" spans="1:8" ht="25.5" x14ac:dyDescent="0.2">
      <c r="A36" s="21" t="str">
        <f t="shared" si="5"/>
        <v>3</v>
      </c>
      <c r="B36" s="21"/>
      <c r="C36" s="101" t="s">
        <v>162</v>
      </c>
      <c r="D36" s="77" t="str">
        <f>VLOOKUP(C36,Справочники!$A:$B,2,FALSE)</f>
        <v>Административные затраты</v>
      </c>
      <c r="E36" s="234" t="str">
        <f>VLOOKUP(A36,'Прогноз затрат'!A:I,8,FALSE)</f>
        <v>Производственная себестоимость заказов</v>
      </c>
      <c r="F36" s="236">
        <f ca="1">H$2+H$3</f>
        <v>2042.567731092437</v>
      </c>
      <c r="G36" s="111">
        <f>VLOOKUP(A36,'Прогноз затрат'!A:J,10,FALSE)</f>
        <v>0.25</v>
      </c>
      <c r="H36" s="153">
        <f ca="1">F36*G36</f>
        <v>510.64193277310926</v>
      </c>
    </row>
    <row r="37" spans="1:8" ht="25.5" x14ac:dyDescent="0.2">
      <c r="A37" s="21" t="str">
        <f>CONCATENATE(C37,B37)</f>
        <v>4</v>
      </c>
      <c r="B37" s="21"/>
      <c r="C37" s="101" t="s">
        <v>144</v>
      </c>
      <c r="D37" s="77" t="str">
        <f>VLOOKUP(C37,Справочники!$A:$B,2,FALSE)</f>
        <v>Коммерческие расходы</v>
      </c>
      <c r="E37" s="234" t="str">
        <f>VLOOKUP(A37,'Прогноз затрат'!A:I,8,FALSE)</f>
        <v>Производственная себестоимость заказов</v>
      </c>
      <c r="F37" s="236">
        <f ca="1">H$2+H$3</f>
        <v>2042.567731092437</v>
      </c>
      <c r="G37" s="111">
        <f>VLOOKUP(A37,'Прогноз затрат'!A:J,10,FALSE)</f>
        <v>0.33333333333333331</v>
      </c>
      <c r="H37" s="153">
        <f ca="1">F37*G37</f>
        <v>680.85591036414564</v>
      </c>
    </row>
    <row r="39" spans="1:8" ht="15" x14ac:dyDescent="0.2">
      <c r="A39" s="257" t="s">
        <v>430</v>
      </c>
      <c r="B39" s="257"/>
      <c r="C39" s="257"/>
      <c r="D39" s="257"/>
      <c r="E39" s="257"/>
      <c r="F39" s="257"/>
      <c r="G39" s="257"/>
      <c r="H39" s="257"/>
    </row>
  </sheetData>
  <mergeCells count="1">
    <mergeCell ref="A39:H39"/>
  </mergeCells>
  <phoneticPr fontId="14" type="noConversion"/>
  <hyperlinks>
    <hyperlink ref="A39:H39" location="Калькуляция!A1" display="Вернуться в калькуляцию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13" sqref="B13"/>
    </sheetView>
  </sheetViews>
  <sheetFormatPr defaultRowHeight="12.75" x14ac:dyDescent="0.2"/>
  <cols>
    <col min="1" max="1" width="3" style="11" customWidth="1"/>
    <col min="2" max="2" width="25.5703125" style="13" customWidth="1"/>
    <col min="3" max="7" width="12.7109375" style="13" customWidth="1"/>
    <col min="8" max="10" width="12.7109375" style="11" customWidth="1"/>
    <col min="11" max="11" width="11.7109375" style="11" customWidth="1"/>
    <col min="12" max="16384" width="9.140625" style="11"/>
  </cols>
  <sheetData>
    <row r="1" spans="1:10" x14ac:dyDescent="0.2">
      <c r="A1" s="258" t="s">
        <v>51</v>
      </c>
      <c r="B1" s="259" t="s">
        <v>50</v>
      </c>
      <c r="C1" s="258" t="s">
        <v>52</v>
      </c>
      <c r="D1" s="258"/>
      <c r="E1" s="258"/>
      <c r="F1" s="258"/>
      <c r="G1" s="258"/>
      <c r="H1" s="258"/>
      <c r="I1" s="258"/>
      <c r="J1" s="258"/>
    </row>
    <row r="2" spans="1:10" ht="38.25" x14ac:dyDescent="0.2">
      <c r="A2" s="258"/>
      <c r="B2" s="259"/>
      <c r="C2" s="12" t="s">
        <v>47</v>
      </c>
      <c r="D2" s="12" t="s">
        <v>3</v>
      </c>
      <c r="E2" s="12" t="s">
        <v>4</v>
      </c>
      <c r="F2" s="12" t="s">
        <v>8</v>
      </c>
      <c r="G2" s="12" t="s">
        <v>9</v>
      </c>
      <c r="H2" s="12" t="s">
        <v>11</v>
      </c>
      <c r="I2" s="12" t="s">
        <v>12</v>
      </c>
      <c r="J2" s="12" t="s">
        <v>46</v>
      </c>
    </row>
    <row r="3" spans="1:10" x14ac:dyDescent="0.2">
      <c r="A3" s="11">
        <v>1</v>
      </c>
      <c r="B3" s="13" t="s">
        <v>32</v>
      </c>
    </row>
    <row r="4" spans="1:10" x14ac:dyDescent="0.2">
      <c r="B4" s="14" t="s">
        <v>33</v>
      </c>
      <c r="C4" s="13" t="s">
        <v>48</v>
      </c>
      <c r="F4" s="13" t="s">
        <v>49</v>
      </c>
      <c r="G4" s="13" t="s">
        <v>49</v>
      </c>
      <c r="H4" s="13" t="s">
        <v>49</v>
      </c>
      <c r="I4" s="13" t="s">
        <v>49</v>
      </c>
      <c r="J4" s="13" t="s">
        <v>49</v>
      </c>
    </row>
    <row r="5" spans="1:10" x14ac:dyDescent="0.2">
      <c r="A5" s="11">
        <v>2</v>
      </c>
      <c r="B5" s="13" t="s">
        <v>34</v>
      </c>
    </row>
    <row r="6" spans="1:10" ht="25.5" x14ac:dyDescent="0.2">
      <c r="B6" s="14" t="s">
        <v>37</v>
      </c>
      <c r="F6" s="13" t="s">
        <v>49</v>
      </c>
      <c r="G6" s="13" t="s">
        <v>48</v>
      </c>
    </row>
    <row r="7" spans="1:10" ht="25.5" x14ac:dyDescent="0.2">
      <c r="B7" s="14" t="s">
        <v>39</v>
      </c>
      <c r="C7" s="13" t="s">
        <v>48</v>
      </c>
      <c r="D7" s="13" t="s">
        <v>48</v>
      </c>
      <c r="E7" s="13" t="s">
        <v>48</v>
      </c>
      <c r="H7" s="11" t="s">
        <v>49</v>
      </c>
      <c r="I7" s="11" t="s">
        <v>49</v>
      </c>
      <c r="J7" s="11" t="s">
        <v>49</v>
      </c>
    </row>
    <row r="8" spans="1:10" x14ac:dyDescent="0.2">
      <c r="A8" s="11">
        <v>3</v>
      </c>
      <c r="B8" s="13" t="s">
        <v>35</v>
      </c>
    </row>
    <row r="9" spans="1:10" ht="25.5" x14ac:dyDescent="0.2">
      <c r="B9" s="14" t="s">
        <v>37</v>
      </c>
      <c r="F9" s="13" t="s">
        <v>49</v>
      </c>
      <c r="G9" s="13" t="s">
        <v>48</v>
      </c>
    </row>
    <row r="10" spans="1:10" ht="25.5" x14ac:dyDescent="0.2">
      <c r="B10" s="14" t="s">
        <v>39</v>
      </c>
      <c r="C10" s="13" t="s">
        <v>48</v>
      </c>
      <c r="D10" s="13" t="s">
        <v>48</v>
      </c>
      <c r="E10" s="13" t="s">
        <v>48</v>
      </c>
      <c r="H10" s="11" t="s">
        <v>49</v>
      </c>
      <c r="I10" s="11" t="s">
        <v>49</v>
      </c>
      <c r="J10" s="11" t="s">
        <v>49</v>
      </c>
    </row>
    <row r="11" spans="1:10" ht="25.5" x14ac:dyDescent="0.2">
      <c r="A11" s="11">
        <v>4</v>
      </c>
      <c r="B11" s="13" t="s">
        <v>36</v>
      </c>
    </row>
    <row r="12" spans="1:10" ht="25.5" x14ac:dyDescent="0.2">
      <c r="B12" s="14" t="s">
        <v>37</v>
      </c>
      <c r="F12" s="13" t="s">
        <v>49</v>
      </c>
      <c r="G12" s="13" t="s">
        <v>48</v>
      </c>
    </row>
    <row r="13" spans="1:10" ht="25.5" x14ac:dyDescent="0.2">
      <c r="B13" s="14" t="s">
        <v>39</v>
      </c>
      <c r="C13" s="13" t="s">
        <v>48</v>
      </c>
      <c r="D13" s="13" t="s">
        <v>48</v>
      </c>
      <c r="E13" s="13" t="s">
        <v>48</v>
      </c>
      <c r="H13" s="11" t="s">
        <v>49</v>
      </c>
      <c r="I13" s="11" t="s">
        <v>49</v>
      </c>
      <c r="J13" s="11" t="s">
        <v>49</v>
      </c>
    </row>
    <row r="14" spans="1:10" ht="25.5" x14ac:dyDescent="0.2">
      <c r="A14" s="11">
        <v>5</v>
      </c>
      <c r="B14" s="13" t="s">
        <v>41</v>
      </c>
    </row>
    <row r="15" spans="1:10" ht="25.5" x14ac:dyDescent="0.2">
      <c r="B15" s="14" t="s">
        <v>37</v>
      </c>
      <c r="F15" s="13" t="s">
        <v>49</v>
      </c>
      <c r="G15" s="13" t="s">
        <v>48</v>
      </c>
    </row>
    <row r="16" spans="1:10" ht="25.5" x14ac:dyDescent="0.2">
      <c r="B16" s="14" t="s">
        <v>39</v>
      </c>
      <c r="C16" s="13" t="s">
        <v>48</v>
      </c>
      <c r="D16" s="13" t="s">
        <v>48</v>
      </c>
      <c r="E16" s="13" t="s">
        <v>48</v>
      </c>
      <c r="H16" s="11" t="s">
        <v>49</v>
      </c>
      <c r="I16" s="11" t="s">
        <v>49</v>
      </c>
      <c r="J16" s="11" t="s">
        <v>49</v>
      </c>
    </row>
    <row r="17" spans="1:10" x14ac:dyDescent="0.2">
      <c r="A17" s="11">
        <v>6</v>
      </c>
      <c r="B17" s="13" t="s">
        <v>42</v>
      </c>
    </row>
    <row r="18" spans="1:10" ht="25.5" x14ac:dyDescent="0.2">
      <c r="B18" s="14" t="s">
        <v>37</v>
      </c>
      <c r="F18" s="13" t="s">
        <v>49</v>
      </c>
      <c r="G18" s="13" t="s">
        <v>48</v>
      </c>
    </row>
    <row r="19" spans="1:10" ht="25.5" x14ac:dyDescent="0.2">
      <c r="B19" s="14" t="s">
        <v>39</v>
      </c>
      <c r="C19" s="13" t="s">
        <v>48</v>
      </c>
      <c r="D19" s="13" t="s">
        <v>48</v>
      </c>
      <c r="E19" s="13" t="s">
        <v>48</v>
      </c>
      <c r="H19" s="11" t="s">
        <v>49</v>
      </c>
      <c r="I19" s="11" t="s">
        <v>49</v>
      </c>
      <c r="J19" s="11" t="s">
        <v>49</v>
      </c>
    </row>
    <row r="20" spans="1:10" x14ac:dyDescent="0.2">
      <c r="A20" s="11">
        <v>7</v>
      </c>
      <c r="B20" s="13" t="s">
        <v>38</v>
      </c>
    </row>
    <row r="21" spans="1:10" ht="25.5" x14ac:dyDescent="0.2">
      <c r="B21" s="14" t="s">
        <v>37</v>
      </c>
      <c r="F21" s="13" t="s">
        <v>49</v>
      </c>
      <c r="G21" s="13" t="s">
        <v>48</v>
      </c>
      <c r="H21" s="11" t="s">
        <v>49</v>
      </c>
      <c r="I21" s="11" t="s">
        <v>49</v>
      </c>
      <c r="J21" s="11" t="s">
        <v>49</v>
      </c>
    </row>
    <row r="22" spans="1:10" x14ac:dyDescent="0.2">
      <c r="A22" s="11">
        <v>8</v>
      </c>
      <c r="B22" s="13" t="s">
        <v>40</v>
      </c>
    </row>
    <row r="23" spans="1:10" ht="25.5" x14ac:dyDescent="0.2">
      <c r="B23" s="14" t="s">
        <v>37</v>
      </c>
      <c r="F23" s="13" t="s">
        <v>49</v>
      </c>
      <c r="G23" s="13" t="s">
        <v>48</v>
      </c>
      <c r="H23" s="11" t="s">
        <v>49</v>
      </c>
      <c r="I23" s="11" t="s">
        <v>49</v>
      </c>
      <c r="J23" s="11" t="s">
        <v>49</v>
      </c>
    </row>
    <row r="24" spans="1:10" x14ac:dyDescent="0.2">
      <c r="A24" s="11">
        <v>9</v>
      </c>
      <c r="B24" s="13" t="s">
        <v>43</v>
      </c>
    </row>
    <row r="25" spans="1:10" ht="25.5" x14ac:dyDescent="0.2">
      <c r="B25" s="14" t="s">
        <v>37</v>
      </c>
      <c r="F25" s="13" t="s">
        <v>49</v>
      </c>
      <c r="G25" s="13" t="s">
        <v>48</v>
      </c>
      <c r="H25" s="11" t="s">
        <v>49</v>
      </c>
      <c r="I25" s="11" t="s">
        <v>49</v>
      </c>
      <c r="J25" s="11" t="s">
        <v>49</v>
      </c>
    </row>
    <row r="26" spans="1:10" x14ac:dyDescent="0.2">
      <c r="A26" s="11">
        <v>10</v>
      </c>
      <c r="B26" s="13" t="s">
        <v>44</v>
      </c>
    </row>
    <row r="27" spans="1:10" ht="25.5" x14ac:dyDescent="0.2">
      <c r="B27" s="14" t="s">
        <v>37</v>
      </c>
      <c r="F27" s="13" t="s">
        <v>49</v>
      </c>
      <c r="G27" s="13" t="s">
        <v>48</v>
      </c>
      <c r="H27" s="11" t="s">
        <v>49</v>
      </c>
      <c r="I27" s="11" t="s">
        <v>49</v>
      </c>
      <c r="J27" s="11" t="s">
        <v>49</v>
      </c>
    </row>
    <row r="28" spans="1:10" x14ac:dyDescent="0.2">
      <c r="A28" s="11">
        <v>11</v>
      </c>
      <c r="B28" s="13" t="s">
        <v>45</v>
      </c>
    </row>
    <row r="29" spans="1:10" ht="25.5" x14ac:dyDescent="0.2">
      <c r="B29" s="14" t="s">
        <v>37</v>
      </c>
      <c r="F29" s="13" t="s">
        <v>49</v>
      </c>
      <c r="G29" s="13" t="s">
        <v>48</v>
      </c>
      <c r="H29" s="11" t="s">
        <v>49</v>
      </c>
      <c r="I29" s="11" t="s">
        <v>49</v>
      </c>
      <c r="J29" s="11" t="s">
        <v>49</v>
      </c>
    </row>
  </sheetData>
  <mergeCells count="3">
    <mergeCell ref="A1:A2"/>
    <mergeCell ref="B1:B2"/>
    <mergeCell ref="C1:J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pane ySplit="1" topLeftCell="A2" activePane="bottomLeft" state="frozen"/>
      <selection pane="bottomLeft" activeCell="D15" sqref="D15"/>
    </sheetView>
  </sheetViews>
  <sheetFormatPr defaultColWidth="22" defaultRowHeight="12.75" x14ac:dyDescent="0.2"/>
  <cols>
    <col min="1" max="1" width="6.5703125" style="45" customWidth="1"/>
    <col min="2" max="2" width="42.42578125" style="67" customWidth="1"/>
    <col min="3" max="8" width="14.7109375" style="18" customWidth="1"/>
    <col min="9" max="16384" width="22" style="18"/>
  </cols>
  <sheetData>
    <row r="1" spans="1:8" s="217" customFormat="1" ht="25.5" x14ac:dyDescent="0.2">
      <c r="A1" s="15" t="s">
        <v>72</v>
      </c>
      <c r="B1" s="16" t="s">
        <v>74</v>
      </c>
      <c r="C1" s="16" t="s">
        <v>65</v>
      </c>
      <c r="D1" s="16" t="s">
        <v>66</v>
      </c>
      <c r="E1" s="16" t="s">
        <v>30</v>
      </c>
      <c r="F1" s="16" t="s">
        <v>63</v>
      </c>
      <c r="G1" s="220" t="s">
        <v>67</v>
      </c>
      <c r="H1" s="220" t="s">
        <v>68</v>
      </c>
    </row>
    <row r="2" spans="1:8" x14ac:dyDescent="0.2">
      <c r="A2" s="221" t="s">
        <v>122</v>
      </c>
      <c r="B2" s="222" t="str">
        <f>VLOOKUP(A2,Справочники!$A:$B,2,FALSE)</f>
        <v>Прямые производственные</v>
      </c>
      <c r="C2" s="223"/>
      <c r="D2" s="223"/>
      <c r="E2" s="223"/>
      <c r="F2" s="223"/>
      <c r="G2" s="223"/>
      <c r="H2" s="224"/>
    </row>
    <row r="3" spans="1:8" x14ac:dyDescent="0.2">
      <c r="A3" s="99" t="s">
        <v>76</v>
      </c>
      <c r="B3" s="8" t="str">
        <f>VLOOKUP(A3,Справочники!$A:$B,2,FALSE)</f>
        <v>Пластины</v>
      </c>
      <c r="C3" s="225"/>
      <c r="D3" s="225"/>
      <c r="E3" s="225"/>
      <c r="F3" s="225"/>
      <c r="G3" s="225"/>
      <c r="H3" s="226"/>
    </row>
    <row r="4" spans="1:8" ht="25.5" x14ac:dyDescent="0.2">
      <c r="A4" s="99" t="s">
        <v>81</v>
      </c>
      <c r="B4" s="8" t="str">
        <f>VLOOKUP(A4,Справочники!$A:$B,2,FALSE)</f>
        <v>Резерв на брак и перенастройки по пластинам / брак при учете</v>
      </c>
      <c r="C4" s="225"/>
      <c r="D4" s="225"/>
      <c r="E4" s="225"/>
      <c r="F4" s="225"/>
      <c r="G4" s="225"/>
      <c r="H4" s="226"/>
    </row>
    <row r="5" spans="1:8" x14ac:dyDescent="0.2">
      <c r="A5" s="99" t="s">
        <v>124</v>
      </c>
      <c r="B5" s="8" t="str">
        <f>VLOOKUP(A5,Справочники!$A:$B,2,FALSE)</f>
        <v>Бумага</v>
      </c>
      <c r="C5" s="225"/>
      <c r="D5" s="225"/>
      <c r="E5" s="225"/>
      <c r="F5" s="225"/>
      <c r="G5" s="225"/>
      <c r="H5" s="226"/>
    </row>
    <row r="6" spans="1:8" x14ac:dyDescent="0.2">
      <c r="A6" s="99" t="s">
        <v>166</v>
      </c>
      <c r="B6" s="8" t="str">
        <f>VLOOKUP(A6,Справочники!$A:$B,2,FALSE)</f>
        <v>Возвратные отходы</v>
      </c>
      <c r="C6" s="225"/>
      <c r="D6" s="225"/>
      <c r="E6" s="225"/>
      <c r="F6" s="225"/>
      <c r="G6" s="225"/>
      <c r="H6" s="226"/>
    </row>
    <row r="7" spans="1:8" x14ac:dyDescent="0.2">
      <c r="A7" s="99" t="s">
        <v>167</v>
      </c>
      <c r="B7" s="8" t="str">
        <f>VLOOKUP(A7,Справочники!$A:$B,2,FALSE)</f>
        <v>Краска и лак</v>
      </c>
      <c r="C7" s="225"/>
      <c r="D7" s="225"/>
      <c r="E7" s="225"/>
      <c r="F7" s="225"/>
      <c r="G7" s="225"/>
      <c r="H7" s="226"/>
    </row>
    <row r="8" spans="1:8" x14ac:dyDescent="0.2">
      <c r="A8" s="99" t="s">
        <v>168</v>
      </c>
      <c r="B8" s="8" t="str">
        <f>VLOOKUP(A8,Справочники!$A:$B,2,FALSE)</f>
        <v>Химикаты</v>
      </c>
      <c r="C8" s="225"/>
      <c r="D8" s="225"/>
      <c r="E8" s="225"/>
      <c r="F8" s="225"/>
      <c r="G8" s="225"/>
      <c r="H8" s="226"/>
    </row>
    <row r="9" spans="1:8" x14ac:dyDescent="0.2">
      <c r="A9" s="99" t="s">
        <v>169</v>
      </c>
      <c r="B9" s="8" t="str">
        <f>VLOOKUP(A9,Справочники!$A:$B,2,FALSE)</f>
        <v>Офсетная резина</v>
      </c>
      <c r="C9" s="225"/>
      <c r="D9" s="225"/>
      <c r="E9" s="225"/>
      <c r="F9" s="225"/>
      <c r="G9" s="225"/>
      <c r="H9" s="226"/>
    </row>
    <row r="10" spans="1:8" x14ac:dyDescent="0.2">
      <c r="A10" s="99" t="s">
        <v>170</v>
      </c>
      <c r="B10" s="8" t="str">
        <f>VLOOKUP(A10,Справочники!$A:$B,2,FALSE)</f>
        <v>Проволока для скрепления</v>
      </c>
      <c r="C10" s="225"/>
      <c r="D10" s="225"/>
      <c r="E10" s="225"/>
      <c r="F10" s="225"/>
      <c r="G10" s="225"/>
      <c r="H10" s="226"/>
    </row>
    <row r="11" spans="1:8" x14ac:dyDescent="0.2">
      <c r="A11" s="99" t="s">
        <v>171</v>
      </c>
      <c r="B11" s="8" t="str">
        <f>VLOOKUP(A11,Справочники!$A:$B,2,FALSE)</f>
        <v>Скотч и бумага для упаковки тиража</v>
      </c>
      <c r="C11" s="225"/>
      <c r="D11" s="225"/>
      <c r="E11" s="225"/>
      <c r="F11" s="225"/>
      <c r="G11" s="225"/>
      <c r="H11" s="226"/>
    </row>
    <row r="12" spans="1:8" x14ac:dyDescent="0.2">
      <c r="A12" s="99" t="s">
        <v>172</v>
      </c>
      <c r="B12" s="8" t="str">
        <f>VLOOKUP(A12,Справочники!$A:$B,2,FALSE)</f>
        <v>Заработная плата</v>
      </c>
      <c r="C12" s="225"/>
      <c r="D12" s="225"/>
      <c r="E12" s="225"/>
      <c r="F12" s="225"/>
      <c r="G12" s="225"/>
      <c r="H12" s="226"/>
    </row>
    <row r="13" spans="1:8" x14ac:dyDescent="0.2">
      <c r="A13" s="99" t="s">
        <v>173</v>
      </c>
      <c r="B13" s="8" t="str">
        <f>VLOOKUP(A13,Справочники!$A:$B,2,FALSE)</f>
        <v>Отчисления с заработной платы</v>
      </c>
      <c r="C13" s="225"/>
      <c r="D13" s="225"/>
      <c r="E13" s="225"/>
      <c r="F13" s="225"/>
      <c r="G13" s="225"/>
      <c r="H13" s="226"/>
    </row>
    <row r="14" spans="1:8" x14ac:dyDescent="0.2">
      <c r="A14" s="99" t="s">
        <v>174</v>
      </c>
      <c r="B14" s="8" t="str">
        <f>VLOOKUP(A14,Справочники!$A:$B,2,FALSE)</f>
        <v>Производственные услуги сторонних организаций</v>
      </c>
      <c r="C14" s="225"/>
      <c r="D14" s="225"/>
      <c r="E14" s="225"/>
      <c r="F14" s="225"/>
      <c r="G14" s="225"/>
      <c r="H14" s="226"/>
    </row>
    <row r="15" spans="1:8" x14ac:dyDescent="0.2">
      <c r="A15" s="99" t="s">
        <v>125</v>
      </c>
      <c r="B15" s="219" t="str">
        <f>VLOOKUP(A15,Справочники!$A:$B,2,FALSE)</f>
        <v>Общепроизводственные</v>
      </c>
      <c r="C15" s="225"/>
      <c r="D15" s="225"/>
      <c r="E15" s="225"/>
      <c r="F15" s="225"/>
      <c r="G15" s="225"/>
      <c r="H15" s="226"/>
    </row>
    <row r="16" spans="1:8" x14ac:dyDescent="0.2">
      <c r="A16" s="99" t="s">
        <v>84</v>
      </c>
      <c r="B16" s="8" t="str">
        <f>VLOOKUP(A16,Справочники!$A:$B,2,FALSE)</f>
        <v>Амортизация оборудования</v>
      </c>
      <c r="C16" s="225"/>
      <c r="D16" s="225"/>
      <c r="E16" s="225"/>
      <c r="F16" s="225"/>
      <c r="G16" s="225"/>
      <c r="H16" s="226"/>
    </row>
    <row r="17" spans="1:8" x14ac:dyDescent="0.2">
      <c r="A17" s="99" t="s">
        <v>87</v>
      </c>
      <c r="B17" s="8" t="str">
        <f>VLOOKUP(A17,Справочники!$A:$B,2,FALSE)</f>
        <v>Вспомогательные материалы</v>
      </c>
      <c r="C17" s="225"/>
      <c r="D17" s="225"/>
      <c r="E17" s="225"/>
      <c r="F17" s="225"/>
      <c r="G17" s="225"/>
      <c r="H17" s="226"/>
    </row>
    <row r="18" spans="1:8" x14ac:dyDescent="0.2">
      <c r="A18" s="99" t="s">
        <v>175</v>
      </c>
      <c r="B18" s="8" t="str">
        <f>VLOOKUP(A18,Справочники!$A:$B,2,FALSE)</f>
        <v>Запчасти для ремонта оборудования</v>
      </c>
      <c r="C18" s="225"/>
      <c r="D18" s="225"/>
      <c r="E18" s="225"/>
      <c r="F18" s="225"/>
      <c r="G18" s="225"/>
      <c r="H18" s="226"/>
    </row>
    <row r="19" spans="1:8" x14ac:dyDescent="0.2">
      <c r="A19" s="99" t="s">
        <v>176</v>
      </c>
      <c r="B19" s="8" t="str">
        <f>VLOOKUP(A19,Справочники!$A:$B,2,FALSE)</f>
        <v>Услуги стор орг-ий по рем и обслуж оборуд-я</v>
      </c>
      <c r="C19" s="225"/>
      <c r="D19" s="225"/>
      <c r="E19" s="225"/>
      <c r="F19" s="225"/>
      <c r="G19" s="225"/>
      <c r="H19" s="226"/>
    </row>
    <row r="20" spans="1:8" x14ac:dyDescent="0.2">
      <c r="A20" s="99" t="s">
        <v>162</v>
      </c>
      <c r="B20" s="219" t="str">
        <f>VLOOKUP(A20,Справочники!$A:$B,2,FALSE)</f>
        <v>Административные затраты</v>
      </c>
      <c r="C20" s="225"/>
      <c r="D20" s="225"/>
      <c r="E20" s="225"/>
      <c r="F20" s="225"/>
      <c r="G20" s="225"/>
      <c r="H20" s="226"/>
    </row>
    <row r="21" spans="1:8" x14ac:dyDescent="0.2">
      <c r="A21" s="99" t="s">
        <v>177</v>
      </c>
      <c r="B21" s="8" t="str">
        <f>VLOOKUP(A21,Справочники!$A:$B,2,FALSE)</f>
        <v>Амортизация имущества (за искл. оборудования)</v>
      </c>
      <c r="C21" s="225"/>
      <c r="D21" s="225"/>
      <c r="E21" s="225"/>
      <c r="F21" s="225"/>
      <c r="G21" s="225"/>
      <c r="H21" s="226"/>
    </row>
    <row r="22" spans="1:8" x14ac:dyDescent="0.2">
      <c r="A22" s="99" t="s">
        <v>178</v>
      </c>
      <c r="B22" s="8" t="str">
        <f>VLOOKUP(A22,Справочники!$A:$B,2,FALSE)</f>
        <v>Аренда помещений</v>
      </c>
      <c r="C22" s="225"/>
      <c r="D22" s="225"/>
      <c r="E22" s="225"/>
      <c r="F22" s="225"/>
      <c r="G22" s="225"/>
      <c r="H22" s="226"/>
    </row>
    <row r="23" spans="1:8" x14ac:dyDescent="0.2">
      <c r="A23" s="99" t="s">
        <v>179</v>
      </c>
      <c r="B23" s="8" t="str">
        <f>VLOOKUP(A23,Справочники!$A:$B,2,FALSE)</f>
        <v>Заработная плата</v>
      </c>
      <c r="C23" s="225"/>
      <c r="D23" s="225"/>
      <c r="E23" s="225"/>
      <c r="F23" s="225"/>
      <c r="G23" s="225"/>
      <c r="H23" s="226"/>
    </row>
    <row r="24" spans="1:8" x14ac:dyDescent="0.2">
      <c r="A24" s="99" t="s">
        <v>180</v>
      </c>
      <c r="B24" s="8" t="str">
        <f>VLOOKUP(A24,Справочники!$A:$B,2,FALSE)</f>
        <v>Отчисления с заработной платы</v>
      </c>
      <c r="C24" s="225"/>
      <c r="D24" s="225"/>
      <c r="E24" s="225"/>
      <c r="F24" s="225"/>
      <c r="G24" s="225"/>
      <c r="H24" s="226"/>
    </row>
    <row r="25" spans="1:8" x14ac:dyDescent="0.2">
      <c r="A25" s="99" t="s">
        <v>181</v>
      </c>
      <c r="B25" s="8" t="str">
        <f>VLOOKUP(A25,Справочники!$A:$B,2,FALSE)</f>
        <v>Электроэнергия</v>
      </c>
      <c r="C25" s="225"/>
      <c r="D25" s="225"/>
      <c r="E25" s="225"/>
      <c r="F25" s="225"/>
      <c r="G25" s="225"/>
      <c r="H25" s="226"/>
    </row>
    <row r="26" spans="1:8" x14ac:dyDescent="0.2">
      <c r="A26" s="99" t="s">
        <v>182</v>
      </c>
      <c r="B26" s="8" t="str">
        <f>VLOOKUP(A26,Справочники!$A:$B,2,FALSE)</f>
        <v>Мобильная связь</v>
      </c>
      <c r="C26" s="225"/>
      <c r="D26" s="225"/>
      <c r="E26" s="225"/>
      <c r="F26" s="225"/>
      <c r="G26" s="225"/>
      <c r="H26" s="226"/>
    </row>
    <row r="27" spans="1:8" x14ac:dyDescent="0.2">
      <c r="A27" s="99" t="s">
        <v>183</v>
      </c>
      <c r="B27" s="8" t="str">
        <f>VLOOKUP(A27,Справочники!$A:$B,2,FALSE)</f>
        <v>Совинтел</v>
      </c>
      <c r="C27" s="225"/>
      <c r="D27" s="225"/>
      <c r="E27" s="225"/>
      <c r="F27" s="225"/>
      <c r="G27" s="225"/>
      <c r="H27" s="226"/>
    </row>
    <row r="28" spans="1:8" ht="25.5" x14ac:dyDescent="0.2">
      <c r="A28" s="99" t="s">
        <v>184</v>
      </c>
      <c r="B28" s="8" t="str">
        <f>VLOOKUP(A28,Справочники!$A:$B,2,FALSE)</f>
        <v>Транспортные расходы (затраты на обслуживание, наем тр-та)</v>
      </c>
      <c r="C28" s="225"/>
      <c r="D28" s="225"/>
      <c r="E28" s="225"/>
      <c r="F28" s="225"/>
      <c r="G28" s="225"/>
      <c r="H28" s="226"/>
    </row>
    <row r="29" spans="1:8" x14ac:dyDescent="0.2">
      <c r="A29" s="99" t="s">
        <v>185</v>
      </c>
      <c r="B29" s="8" t="str">
        <f>VLOOKUP(A29,Справочники!$A:$B,2,FALSE)</f>
        <v>Услуги по транспортировке отходов производства</v>
      </c>
      <c r="C29" s="225"/>
      <c r="D29" s="225"/>
      <c r="E29" s="225"/>
      <c r="F29" s="225"/>
      <c r="G29" s="225"/>
      <c r="H29" s="226"/>
    </row>
    <row r="30" spans="1:8" x14ac:dyDescent="0.2">
      <c r="A30" s="99" t="s">
        <v>186</v>
      </c>
      <c r="B30" s="8" t="str">
        <f>VLOOKUP(A30,Справочники!$A:$B,2,FALSE)</f>
        <v>Налоги</v>
      </c>
      <c r="C30" s="225"/>
      <c r="D30" s="225"/>
      <c r="E30" s="225"/>
      <c r="F30" s="225"/>
      <c r="G30" s="225"/>
      <c r="H30" s="226"/>
    </row>
    <row r="31" spans="1:8" x14ac:dyDescent="0.2">
      <c r="A31" s="99" t="s">
        <v>187</v>
      </c>
      <c r="B31" s="8" t="str">
        <f>VLOOKUP(A31,Справочники!$A:$B,2,FALSE)</f>
        <v>Канцтовары</v>
      </c>
      <c r="C31" s="225"/>
      <c r="D31" s="225"/>
      <c r="E31" s="225"/>
      <c r="F31" s="225"/>
      <c r="G31" s="225"/>
      <c r="H31" s="226"/>
    </row>
    <row r="32" spans="1:8" x14ac:dyDescent="0.2">
      <c r="A32" s="99" t="s">
        <v>188</v>
      </c>
      <c r="B32" s="8" t="str">
        <f>VLOOKUP(A32,Справочники!$A:$B,2,FALSE)</f>
        <v>Прочие накладные административные затраты</v>
      </c>
      <c r="C32" s="225"/>
      <c r="D32" s="225"/>
      <c r="E32" s="225"/>
      <c r="F32" s="225"/>
      <c r="G32" s="225"/>
      <c r="H32" s="226"/>
    </row>
    <row r="33" spans="1:8" x14ac:dyDescent="0.2">
      <c r="A33" s="99" t="s">
        <v>144</v>
      </c>
      <c r="B33" s="219" t="str">
        <f>VLOOKUP(A33,Справочники!$A:$B,2,FALSE)</f>
        <v>Коммерческие расходы</v>
      </c>
      <c r="C33" s="225"/>
      <c r="D33" s="225"/>
      <c r="E33" s="225"/>
      <c r="F33" s="225"/>
      <c r="G33" s="225"/>
      <c r="H33" s="226"/>
    </row>
    <row r="34" spans="1:8" x14ac:dyDescent="0.2">
      <c r="A34" s="99" t="s">
        <v>145</v>
      </c>
      <c r="B34" s="8" t="str">
        <f>VLOOKUP(A34,Справочники!$A:$B,2,FALSE)</f>
        <v>Реклама</v>
      </c>
      <c r="C34" s="225"/>
      <c r="D34" s="225"/>
      <c r="E34" s="225"/>
      <c r="F34" s="225"/>
      <c r="G34" s="225"/>
      <c r="H34" s="226"/>
    </row>
    <row r="35" spans="1:8" x14ac:dyDescent="0.2">
      <c r="A35" s="99" t="s">
        <v>147</v>
      </c>
      <c r="B35" s="8" t="str">
        <f>VLOOKUP(A35,Справочники!$A:$B,2,FALSE)</f>
        <v>Командировки</v>
      </c>
      <c r="C35" s="225"/>
      <c r="D35" s="225"/>
      <c r="E35" s="225"/>
      <c r="F35" s="225"/>
      <c r="G35" s="225"/>
      <c r="H35" s="226"/>
    </row>
    <row r="36" spans="1:8" x14ac:dyDescent="0.2">
      <c r="A36" s="99" t="s">
        <v>149</v>
      </c>
      <c r="B36" s="8" t="str">
        <f>VLOOKUP(A36,Справочники!$A:$B,2,FALSE)</f>
        <v>Участие в выставках, конкурсах</v>
      </c>
      <c r="C36" s="225"/>
      <c r="D36" s="225"/>
      <c r="E36" s="225"/>
      <c r="F36" s="225"/>
      <c r="G36" s="225"/>
      <c r="H36" s="226"/>
    </row>
    <row r="37" spans="1:8" x14ac:dyDescent="0.2">
      <c r="A37" s="99" t="s">
        <v>150</v>
      </c>
      <c r="B37" s="8" t="str">
        <f>VLOOKUP(A37,Справочники!$A:$B,2,FALSE)</f>
        <v>Поддержка сайта, услуги интернет</v>
      </c>
      <c r="C37" s="225"/>
      <c r="D37" s="225"/>
      <c r="E37" s="225"/>
      <c r="F37" s="225"/>
      <c r="G37" s="225"/>
      <c r="H37" s="226"/>
    </row>
    <row r="38" spans="1:8" x14ac:dyDescent="0.2">
      <c r="A38" s="99" t="s">
        <v>152</v>
      </c>
      <c r="B38" s="8" t="str">
        <f>VLOOKUP(A38,Справочники!$A:$B,2,FALSE)</f>
        <v>Заработная плата</v>
      </c>
      <c r="C38" s="225"/>
      <c r="D38" s="225"/>
      <c r="E38" s="225"/>
      <c r="F38" s="225"/>
      <c r="G38" s="225"/>
      <c r="H38" s="226"/>
    </row>
    <row r="39" spans="1:8" x14ac:dyDescent="0.2">
      <c r="A39" s="84" t="s">
        <v>154</v>
      </c>
      <c r="B39" s="227" t="str">
        <f>VLOOKUP(A39,Справочники!$A:$B,2,FALSE)</f>
        <v>Отчисления с заработной платы</v>
      </c>
      <c r="C39" s="228"/>
      <c r="D39" s="228"/>
      <c r="E39" s="228"/>
      <c r="F39" s="228"/>
      <c r="G39" s="228"/>
      <c r="H39" s="229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"/>
  <sheetViews>
    <sheetView workbookViewId="0">
      <pane xSplit="7" ySplit="1" topLeftCell="H2" activePane="bottomRight" state="frozen"/>
      <selection pane="topRight" activeCell="G1" sqref="G1"/>
      <selection pane="bottomLeft" activeCell="A2" sqref="A2"/>
      <selection pane="bottomRight"/>
    </sheetView>
  </sheetViews>
  <sheetFormatPr defaultRowHeight="12.75" x14ac:dyDescent="0.2"/>
  <cols>
    <col min="1" max="2" width="8.85546875" style="18" customWidth="1"/>
    <col min="3" max="3" width="10.5703125" style="45" customWidth="1"/>
    <col min="4" max="4" width="40.7109375" style="45" customWidth="1"/>
    <col min="5" max="5" width="25.42578125" style="18" customWidth="1"/>
    <col min="6" max="6" width="14.140625" style="18" customWidth="1"/>
    <col min="7" max="7" width="32.140625" style="18" customWidth="1"/>
    <col min="8" max="8" width="6.42578125" style="18" customWidth="1"/>
    <col min="9" max="31" width="6.28515625" style="18" customWidth="1"/>
    <col min="32" max="16384" width="9.140625" style="18"/>
  </cols>
  <sheetData>
    <row r="1" spans="1:7" s="72" customFormat="1" ht="12.75" customHeight="1" x14ac:dyDescent="0.2">
      <c r="A1" s="15" t="s">
        <v>356</v>
      </c>
      <c r="B1" s="15" t="s">
        <v>327</v>
      </c>
      <c r="C1" s="15" t="s">
        <v>328</v>
      </c>
      <c r="D1" s="16" t="s">
        <v>304</v>
      </c>
      <c r="E1" s="16" t="s">
        <v>329</v>
      </c>
      <c r="F1" s="16" t="s">
        <v>295</v>
      </c>
      <c r="G1" s="16" t="s">
        <v>330</v>
      </c>
    </row>
    <row r="2" spans="1:7" s="53" customFormat="1" x14ac:dyDescent="0.2">
      <c r="A2" s="63" t="str">
        <f>CONCATENATE(B2,C2)</f>
        <v>Ц_14</v>
      </c>
      <c r="B2" s="63" t="s">
        <v>203</v>
      </c>
      <c r="C2" s="63"/>
      <c r="D2" s="64" t="str">
        <f>VLOOKUP(B2,Справочники!$A:$B,2,FALSE)</f>
        <v>Не распределяемые по ЦФУ</v>
      </c>
      <c r="E2" s="60"/>
      <c r="F2" s="59"/>
      <c r="G2" s="61"/>
    </row>
    <row r="3" spans="1:7" s="42" customFormat="1" x14ac:dyDescent="0.2">
      <c r="A3" s="2" t="str">
        <f t="shared" ref="A3:A70" si="0">CONCATENATE(B3,C3)</f>
        <v>Ц_141.4</v>
      </c>
      <c r="B3" s="2" t="str">
        <f>B$2</f>
        <v>Ц_14</v>
      </c>
      <c r="C3" s="1" t="s">
        <v>166</v>
      </c>
      <c r="D3" s="21" t="str">
        <f>VLOOKUP(C3,Справочники!$A:$B,2,FALSE)</f>
        <v>Возвратные отходы</v>
      </c>
      <c r="F3" s="21"/>
      <c r="G3" s="21"/>
    </row>
    <row r="4" spans="1:7" x14ac:dyDescent="0.2">
      <c r="A4" s="2" t="str">
        <f t="shared" si="0"/>
        <v>Ц_14ВО_1</v>
      </c>
      <c r="B4" s="2" t="str">
        <f t="shared" ref="B4:B9" si="1">B$2</f>
        <v>Ц_14</v>
      </c>
      <c r="C4" s="40" t="s">
        <v>280</v>
      </c>
      <c r="D4" s="21" t="str">
        <f>VLOOKUP(C4,Справочники!$A:$B,2,FALSE)</f>
        <v>Возвратные отходы по пластинам</v>
      </c>
      <c r="E4" s="57" t="s">
        <v>297</v>
      </c>
      <c r="F4" s="70">
        <v>1</v>
      </c>
      <c r="G4" s="58" t="s">
        <v>301</v>
      </c>
    </row>
    <row r="5" spans="1:7" x14ac:dyDescent="0.2">
      <c r="A5" s="2" t="str">
        <f t="shared" si="0"/>
        <v>Ц_14ВО_2</v>
      </c>
      <c r="B5" s="2" t="str">
        <f t="shared" si="1"/>
        <v>Ц_14</v>
      </c>
      <c r="C5" s="40" t="s">
        <v>281</v>
      </c>
      <c r="D5" s="21" t="str">
        <f>VLOOKUP(C5,Справочники!$A:$B,2,FALSE)</f>
        <v>Возвратные отходы по бумаге</v>
      </c>
      <c r="E5" s="57" t="s">
        <v>300</v>
      </c>
      <c r="F5" s="70">
        <v>0.15</v>
      </c>
      <c r="G5" s="58" t="s">
        <v>301</v>
      </c>
    </row>
    <row r="6" spans="1:7" x14ac:dyDescent="0.2">
      <c r="A6" s="2" t="str">
        <f t="shared" si="0"/>
        <v>Ц_14ВО_3</v>
      </c>
      <c r="B6" s="2" t="str">
        <f t="shared" si="1"/>
        <v>Ц_14</v>
      </c>
      <c r="C6" s="40" t="s">
        <v>282</v>
      </c>
      <c r="D6" s="21" t="str">
        <f>VLOOKUP(C6,Справочники!$A:$B,2,FALSE)</f>
        <v>Возвратные отходы по пленкам</v>
      </c>
      <c r="E6" s="57" t="s">
        <v>336</v>
      </c>
      <c r="F6" s="70">
        <v>1</v>
      </c>
      <c r="G6" s="58" t="s">
        <v>301</v>
      </c>
    </row>
    <row r="7" spans="1:7" ht="25.5" x14ac:dyDescent="0.2">
      <c r="A7" s="2" t="str">
        <f t="shared" si="0"/>
        <v>Ц_14</v>
      </c>
      <c r="B7" s="2" t="str">
        <f t="shared" si="1"/>
        <v>Ц_14</v>
      </c>
      <c r="C7" s="40"/>
      <c r="D7" s="21" t="s">
        <v>331</v>
      </c>
      <c r="E7" s="69" t="s">
        <v>332</v>
      </c>
      <c r="F7" s="86">
        <v>1.5</v>
      </c>
      <c r="G7" s="58" t="s">
        <v>331</v>
      </c>
    </row>
    <row r="8" spans="1:7" x14ac:dyDescent="0.2">
      <c r="A8" s="2" t="str">
        <f t="shared" si="0"/>
        <v>Ц_141.11</v>
      </c>
      <c r="B8" s="2" t="str">
        <f t="shared" si="1"/>
        <v>Ц_14</v>
      </c>
      <c r="C8" s="1" t="s">
        <v>173</v>
      </c>
      <c r="D8" s="21" t="str">
        <f>VLOOKUP(C8,Справочники!$A:$B,2,FALSE)</f>
        <v>Отчисления с заработной платы</v>
      </c>
      <c r="E8" s="57" t="s">
        <v>9</v>
      </c>
      <c r="F8" s="70">
        <v>0.14000000000000001</v>
      </c>
      <c r="G8" s="58" t="s">
        <v>337</v>
      </c>
    </row>
    <row r="9" spans="1:7" ht="25.5" x14ac:dyDescent="0.2">
      <c r="A9" s="2"/>
      <c r="B9" s="2" t="str">
        <f t="shared" si="1"/>
        <v>Ц_14</v>
      </c>
      <c r="C9" s="1" t="s">
        <v>171</v>
      </c>
      <c r="D9" s="21" t="str">
        <f>VLOOKUP(C9,Справочники!$A:$B,2,FALSE)</f>
        <v>Скотч и бумага для упаковки тиража</v>
      </c>
      <c r="E9" s="57" t="s">
        <v>300</v>
      </c>
      <c r="F9" s="166">
        <v>0.2</v>
      </c>
      <c r="G9" s="58" t="s">
        <v>378</v>
      </c>
    </row>
    <row r="10" spans="1:7" s="53" customFormat="1" x14ac:dyDescent="0.2">
      <c r="A10" s="63" t="str">
        <f t="shared" si="0"/>
        <v>Ц_1</v>
      </c>
      <c r="B10" s="63" t="s">
        <v>190</v>
      </c>
      <c r="D10" s="64" t="str">
        <f>VLOOKUP(B10,Справочники!$A:$B,2,FALSE)</f>
        <v>Цех допечатной подготовки</v>
      </c>
      <c r="E10" s="60"/>
      <c r="F10" s="59"/>
      <c r="G10" s="61"/>
    </row>
    <row r="11" spans="1:7" x14ac:dyDescent="0.2">
      <c r="A11" s="2" t="str">
        <f t="shared" si="0"/>
        <v>Ц_11.2</v>
      </c>
      <c r="B11" s="2" t="str">
        <f>B$10</f>
        <v>Ц_1</v>
      </c>
      <c r="C11" s="1" t="s">
        <v>81</v>
      </c>
      <c r="D11" s="21" t="str">
        <f>VLOOKUP(C11,Справочники!$A:$B,2,FALSE)</f>
        <v>Резерв на брак и перенастройки по пластинам / брак при учете</v>
      </c>
      <c r="E11" s="57" t="s">
        <v>297</v>
      </c>
      <c r="F11" s="70">
        <v>0.02</v>
      </c>
      <c r="G11" s="58" t="s">
        <v>302</v>
      </c>
    </row>
    <row r="12" spans="1:7" x14ac:dyDescent="0.2">
      <c r="A12" s="2" t="str">
        <f t="shared" si="0"/>
        <v>Ц_11.6</v>
      </c>
      <c r="B12" s="2" t="str">
        <f t="shared" ref="B12:B18" si="2">B$10</f>
        <v>Ц_1</v>
      </c>
      <c r="C12" s="1" t="s">
        <v>168</v>
      </c>
      <c r="D12" s="21" t="str">
        <f>VLOOKUP(C12,Справочники!$A:$B,2,FALSE)</f>
        <v>Химикаты</v>
      </c>
      <c r="E12" s="57"/>
      <c r="F12" s="21"/>
      <c r="G12" s="58"/>
    </row>
    <row r="13" spans="1:7" x14ac:dyDescent="0.2">
      <c r="A13" s="2" t="str">
        <f t="shared" si="0"/>
        <v>Ц_1Х_1</v>
      </c>
      <c r="B13" s="2" t="str">
        <f t="shared" si="2"/>
        <v>Ц_1</v>
      </c>
      <c r="C13" s="2" t="s">
        <v>232</v>
      </c>
      <c r="D13" s="20" t="str">
        <f>VLOOKUP(C13,Справочники!$A:$B,2,FALSE)</f>
        <v>Проявитель обычный</v>
      </c>
      <c r="E13" s="57" t="s">
        <v>297</v>
      </c>
      <c r="F13" s="86">
        <v>4</v>
      </c>
      <c r="G13" s="58" t="s">
        <v>372</v>
      </c>
    </row>
    <row r="14" spans="1:7" x14ac:dyDescent="0.2">
      <c r="A14" s="2" t="str">
        <f t="shared" si="0"/>
        <v>Ц_1Х_2</v>
      </c>
      <c r="B14" s="2" t="str">
        <f t="shared" si="2"/>
        <v>Ц_1</v>
      </c>
      <c r="C14" s="2" t="s">
        <v>233</v>
      </c>
      <c r="D14" s="20" t="str">
        <f>VLOOKUP(C14,Справочники!$A:$B,2,FALSE)</f>
        <v>Проявитель СТР</v>
      </c>
      <c r="E14" s="57" t="s">
        <v>297</v>
      </c>
      <c r="F14" s="86">
        <v>3</v>
      </c>
      <c r="G14" s="58" t="s">
        <v>372</v>
      </c>
    </row>
    <row r="15" spans="1:7" x14ac:dyDescent="0.2">
      <c r="A15" s="2" t="str">
        <f t="shared" si="0"/>
        <v>Ц_1Х_3</v>
      </c>
      <c r="B15" s="2" t="str">
        <f t="shared" si="2"/>
        <v>Ц_1</v>
      </c>
      <c r="C15" s="2" t="s">
        <v>234</v>
      </c>
      <c r="D15" s="20" t="str">
        <f>VLOOKUP(C15,Справочники!$A:$B,2,FALSE)</f>
        <v>Подкрепитель обычный</v>
      </c>
      <c r="E15" s="57" t="s">
        <v>297</v>
      </c>
      <c r="F15" s="86">
        <v>4</v>
      </c>
      <c r="G15" s="58" t="s">
        <v>372</v>
      </c>
    </row>
    <row r="16" spans="1:7" x14ac:dyDescent="0.2">
      <c r="A16" s="2" t="str">
        <f t="shared" si="0"/>
        <v>Ц_1Х_4</v>
      </c>
      <c r="B16" s="2" t="str">
        <f t="shared" si="2"/>
        <v>Ц_1</v>
      </c>
      <c r="C16" s="2" t="s">
        <v>235</v>
      </c>
      <c r="D16" s="20" t="str">
        <f>VLOOKUP(C16,Справочники!$A:$B,2,FALSE)</f>
        <v>Подкрепитель СТР</v>
      </c>
      <c r="E16" s="57" t="s">
        <v>297</v>
      </c>
      <c r="F16" s="86">
        <v>3</v>
      </c>
      <c r="G16" s="58" t="s">
        <v>372</v>
      </c>
    </row>
    <row r="17" spans="1:7" x14ac:dyDescent="0.2">
      <c r="A17" s="2" t="str">
        <f t="shared" si="0"/>
        <v>Ц_1Х_5</v>
      </c>
      <c r="B17" s="2" t="str">
        <f t="shared" si="2"/>
        <v>Ц_1</v>
      </c>
      <c r="C17" s="2" t="s">
        <v>236</v>
      </c>
      <c r="D17" s="20" t="str">
        <f>VLOOKUP(C17,Справочники!$A:$B,2,FALSE)</f>
        <v>Изопропиловый спирт</v>
      </c>
      <c r="E17" s="57" t="s">
        <v>297</v>
      </c>
      <c r="F17" s="86">
        <v>4</v>
      </c>
      <c r="G17" s="58" t="s">
        <v>372</v>
      </c>
    </row>
    <row r="18" spans="1:7" x14ac:dyDescent="0.2">
      <c r="A18" s="2" t="str">
        <f t="shared" si="0"/>
        <v>Ц_11.10</v>
      </c>
      <c r="B18" s="2" t="str">
        <f t="shared" si="2"/>
        <v>Ц_1</v>
      </c>
      <c r="C18" s="1" t="s">
        <v>172</v>
      </c>
      <c r="D18" s="21" t="str">
        <f>VLOOKUP(C18,Справочники!$A:$B,2,FALSE)</f>
        <v>Заработная плата</v>
      </c>
      <c r="E18" s="57" t="s">
        <v>316</v>
      </c>
      <c r="F18" s="87">
        <v>15</v>
      </c>
      <c r="G18" s="58" t="s">
        <v>303</v>
      </c>
    </row>
    <row r="19" spans="1:7" s="53" customFormat="1" x14ac:dyDescent="0.2">
      <c r="A19" s="63" t="str">
        <f t="shared" si="0"/>
        <v>Ц_2</v>
      </c>
      <c r="B19" s="63" t="s">
        <v>191</v>
      </c>
      <c r="D19" s="64" t="str">
        <f>VLOOKUP(B19,Справочники!$A:$B,2,FALSE)</f>
        <v>Печатная машина КВА 72</v>
      </c>
      <c r="E19" s="60"/>
      <c r="F19" s="59"/>
      <c r="G19" s="61"/>
    </row>
    <row r="20" spans="1:7" x14ac:dyDescent="0.2">
      <c r="A20" s="2" t="str">
        <f t="shared" si="0"/>
        <v>Ц_21.5</v>
      </c>
      <c r="B20" s="2" t="str">
        <f t="shared" ref="B20:B42" si="3">B$19</f>
        <v>Ц_2</v>
      </c>
      <c r="C20" s="1" t="s">
        <v>167</v>
      </c>
      <c r="D20" s="13" t="str">
        <f>VLOOKUP(C20,Справочники!$A:$B,2,FALSE)</f>
        <v>Краска и лак</v>
      </c>
      <c r="E20" s="57"/>
      <c r="F20" s="21"/>
      <c r="G20" s="58"/>
    </row>
    <row r="21" spans="1:7" x14ac:dyDescent="0.2">
      <c r="A21" s="2" t="str">
        <f t="shared" si="0"/>
        <v>Ц_2К_1.1</v>
      </c>
      <c r="B21" s="2" t="str">
        <f t="shared" si="3"/>
        <v>Ц_2</v>
      </c>
      <c r="C21" s="2" t="s">
        <v>246</v>
      </c>
      <c r="D21" s="13" t="str">
        <f>VLOOKUP(C21,Справочники!$A:$B,2,FALSE)</f>
        <v>Триадная краска</v>
      </c>
      <c r="E21" s="57" t="s">
        <v>338</v>
      </c>
      <c r="F21" s="87">
        <v>0.2</v>
      </c>
      <c r="G21" s="58" t="s">
        <v>339</v>
      </c>
    </row>
    <row r="22" spans="1:7" x14ac:dyDescent="0.2">
      <c r="A22" s="2" t="str">
        <f t="shared" si="0"/>
        <v>Ц_2К_1.2</v>
      </c>
      <c r="B22" s="2" t="str">
        <f t="shared" si="3"/>
        <v>Ц_2</v>
      </c>
      <c r="C22" s="2" t="s">
        <v>247</v>
      </c>
      <c r="D22" s="13" t="str">
        <f>VLOOKUP(C22,Справочники!$A:$B,2,FALSE)</f>
        <v>Понтоны обычные</v>
      </c>
      <c r="E22" s="57" t="s">
        <v>338</v>
      </c>
      <c r="F22" s="87">
        <v>0.2</v>
      </c>
      <c r="G22" s="58" t="s">
        <v>339</v>
      </c>
    </row>
    <row r="23" spans="1:7" x14ac:dyDescent="0.2">
      <c r="A23" s="2" t="str">
        <f t="shared" si="0"/>
        <v>Ц_2К_1.3</v>
      </c>
      <c r="B23" s="2" t="str">
        <f t="shared" si="3"/>
        <v>Ц_2</v>
      </c>
      <c r="C23" s="2" t="s">
        <v>248</v>
      </c>
      <c r="D23" s="13" t="str">
        <f>VLOOKUP(C23,Справочники!$A:$B,2,FALSE)</f>
        <v>Понтоны металлизированные</v>
      </c>
      <c r="E23" s="57" t="s">
        <v>338</v>
      </c>
      <c r="F23" s="87">
        <v>0.2</v>
      </c>
      <c r="G23" s="58" t="s">
        <v>339</v>
      </c>
    </row>
    <row r="24" spans="1:7" x14ac:dyDescent="0.2">
      <c r="A24" s="2" t="str">
        <f t="shared" si="0"/>
        <v>Ц_2К_2.1.1</v>
      </c>
      <c r="B24" s="2" t="str">
        <f t="shared" si="3"/>
        <v>Ц_2</v>
      </c>
      <c r="C24" s="2" t="s">
        <v>250</v>
      </c>
      <c r="D24" s="13" t="str">
        <f>VLOOKUP(C24,Справочники!$A:$B,2,FALSE)</f>
        <v>Лак вододисперсионный матовый</v>
      </c>
      <c r="E24" s="57" t="s">
        <v>338</v>
      </c>
      <c r="F24" s="87">
        <v>0.2</v>
      </c>
      <c r="G24" s="58" t="s">
        <v>339</v>
      </c>
    </row>
    <row r="25" spans="1:7" x14ac:dyDescent="0.2">
      <c r="A25" s="2" t="str">
        <f t="shared" si="0"/>
        <v>Ц_2К_2.1.2</v>
      </c>
      <c r="B25" s="2" t="str">
        <f t="shared" si="3"/>
        <v>Ц_2</v>
      </c>
      <c r="C25" s="2" t="s">
        <v>251</v>
      </c>
      <c r="D25" s="13" t="str">
        <f>VLOOKUP(C25,Справочники!$A:$B,2,FALSE)</f>
        <v>Лак вододисперсионный глянцевый</v>
      </c>
      <c r="E25" s="57" t="s">
        <v>338</v>
      </c>
      <c r="F25" s="87">
        <v>0.2</v>
      </c>
      <c r="G25" s="58" t="s">
        <v>339</v>
      </c>
    </row>
    <row r="26" spans="1:7" x14ac:dyDescent="0.2">
      <c r="A26" s="2" t="str">
        <f t="shared" si="0"/>
        <v>Ц_2К_2.1.3</v>
      </c>
      <c r="B26" s="2" t="str">
        <f t="shared" si="3"/>
        <v>Ц_2</v>
      </c>
      <c r="C26" s="2" t="s">
        <v>252</v>
      </c>
      <c r="D26" s="13" t="str">
        <f>VLOOKUP(C26,Справочники!$A:$B,2,FALSE)</f>
        <v>Лак вододисперсионный универсальный</v>
      </c>
      <c r="E26" s="57" t="s">
        <v>338</v>
      </c>
      <c r="F26" s="87">
        <v>0.2</v>
      </c>
      <c r="G26" s="58" t="s">
        <v>339</v>
      </c>
    </row>
    <row r="27" spans="1:7" x14ac:dyDescent="0.2">
      <c r="A27" s="2" t="str">
        <f t="shared" si="0"/>
        <v>Ц_2К_2.1.4</v>
      </c>
      <c r="B27" s="2" t="str">
        <f t="shared" si="3"/>
        <v>Ц_2</v>
      </c>
      <c r="C27" s="2" t="s">
        <v>253</v>
      </c>
      <c r="D27" s="13" t="str">
        <f>VLOOKUP(C27,Справочники!$A:$B,2,FALSE)</f>
        <v>Лак вододисперсионный праймер</v>
      </c>
      <c r="E27" s="57" t="s">
        <v>338</v>
      </c>
      <c r="F27" s="87">
        <v>0.2</v>
      </c>
      <c r="G27" s="58" t="s">
        <v>339</v>
      </c>
    </row>
    <row r="28" spans="1:7" x14ac:dyDescent="0.2">
      <c r="A28" s="2" t="str">
        <f t="shared" si="0"/>
        <v>Ц_2К_2.2.1</v>
      </c>
      <c r="B28" s="2" t="str">
        <f t="shared" si="3"/>
        <v>Ц_2</v>
      </c>
      <c r="C28" s="2" t="s">
        <v>255</v>
      </c>
      <c r="D28" s="13" t="str">
        <f>VLOOKUP(C28,Справочники!$A:$B,2,FALSE)</f>
        <v>Лак офсетный матовый</v>
      </c>
      <c r="E28" s="57" t="s">
        <v>338</v>
      </c>
      <c r="F28" s="87">
        <v>0.2</v>
      </c>
      <c r="G28" s="58" t="s">
        <v>339</v>
      </c>
    </row>
    <row r="29" spans="1:7" x14ac:dyDescent="0.2">
      <c r="A29" s="2" t="str">
        <f t="shared" si="0"/>
        <v>Ц_2К_2.2.2</v>
      </c>
      <c r="B29" s="2" t="str">
        <f t="shared" si="3"/>
        <v>Ц_2</v>
      </c>
      <c r="C29" s="2" t="s">
        <v>256</v>
      </c>
      <c r="D29" s="13" t="str">
        <f>VLOOKUP(C29,Справочники!$A:$B,2,FALSE)</f>
        <v>Лак офсетный глянцевый</v>
      </c>
      <c r="E29" s="57" t="s">
        <v>338</v>
      </c>
      <c r="F29" s="87">
        <v>0.2</v>
      </c>
      <c r="G29" s="58" t="s">
        <v>339</v>
      </c>
    </row>
    <row r="30" spans="1:7" x14ac:dyDescent="0.2">
      <c r="A30" s="2" t="str">
        <f t="shared" si="0"/>
        <v>Ц_2К_2.2.3</v>
      </c>
      <c r="B30" s="2" t="str">
        <f t="shared" si="3"/>
        <v>Ц_2</v>
      </c>
      <c r="C30" s="2" t="s">
        <v>257</v>
      </c>
      <c r="D30" s="13" t="str">
        <f>VLOOKUP(C30,Справочники!$A:$B,2,FALSE)</f>
        <v>Лак офсетный универсальный</v>
      </c>
      <c r="E30" s="57" t="s">
        <v>338</v>
      </c>
      <c r="F30" s="87">
        <v>0.2</v>
      </c>
      <c r="G30" s="58" t="s">
        <v>339</v>
      </c>
    </row>
    <row r="31" spans="1:7" x14ac:dyDescent="0.2">
      <c r="A31" s="2" t="str">
        <f t="shared" si="0"/>
        <v>Ц_2Р_1</v>
      </c>
      <c r="B31" s="2" t="str">
        <f t="shared" si="3"/>
        <v>Ц_2</v>
      </c>
      <c r="C31" s="2" t="s">
        <v>259</v>
      </c>
      <c r="D31" s="21" t="str">
        <f>VLOOKUP(C31,Справочники!$A:$B,2,FALSE)</f>
        <v>Офсетная резина для краски</v>
      </c>
      <c r="E31" s="57" t="s">
        <v>338</v>
      </c>
      <c r="F31" s="87">
        <v>2E-3</v>
      </c>
      <c r="G31" s="58" t="s">
        <v>340</v>
      </c>
    </row>
    <row r="32" spans="1:7" x14ac:dyDescent="0.2">
      <c r="A32" s="2" t="str">
        <f t="shared" si="0"/>
        <v>Ц_2Р_2</v>
      </c>
      <c r="B32" s="2" t="str">
        <f t="shared" si="3"/>
        <v>Ц_2</v>
      </c>
      <c r="C32" s="2" t="s">
        <v>260</v>
      </c>
      <c r="D32" s="21" t="str">
        <f>VLOOKUP(C32,Справочники!$A:$B,2,FALSE)</f>
        <v>Офсетное полотно для лака</v>
      </c>
      <c r="E32" s="57" t="s">
        <v>338</v>
      </c>
      <c r="F32" s="87">
        <v>3.0000000000000001E-3</v>
      </c>
      <c r="G32" s="58" t="s">
        <v>340</v>
      </c>
    </row>
    <row r="33" spans="1:7" x14ac:dyDescent="0.2">
      <c r="A33" s="2" t="str">
        <f t="shared" si="0"/>
        <v>Ц_21.6</v>
      </c>
      <c r="B33" s="2" t="str">
        <f t="shared" si="3"/>
        <v>Ц_2</v>
      </c>
      <c r="C33" s="1" t="s">
        <v>168</v>
      </c>
      <c r="D33" s="13" t="str">
        <f>VLOOKUP(C33,Справочники!$A:$B,2,FALSE)</f>
        <v>Химикаты</v>
      </c>
      <c r="E33" s="57"/>
      <c r="F33" s="21"/>
      <c r="G33" s="58"/>
    </row>
    <row r="34" spans="1:7" x14ac:dyDescent="0.2">
      <c r="A34" s="2" t="str">
        <f t="shared" si="0"/>
        <v>Ц_2Х_5</v>
      </c>
      <c r="B34" s="2" t="str">
        <f t="shared" si="3"/>
        <v>Ц_2</v>
      </c>
      <c r="C34" s="2" t="s">
        <v>236</v>
      </c>
      <c r="D34" s="20" t="str">
        <f>VLOOKUP(C34,Справочники!$A:$B,2,FALSE)</f>
        <v>Изопропиловый спирт</v>
      </c>
      <c r="E34" s="57" t="s">
        <v>338</v>
      </c>
      <c r="F34" s="87">
        <v>0.2</v>
      </c>
      <c r="G34" s="58" t="s">
        <v>340</v>
      </c>
    </row>
    <row r="35" spans="1:7" x14ac:dyDescent="0.2">
      <c r="A35" s="2" t="str">
        <f t="shared" si="0"/>
        <v>Ц_2Х_6</v>
      </c>
      <c r="B35" s="2" t="str">
        <f t="shared" si="3"/>
        <v>Ц_2</v>
      </c>
      <c r="C35" s="2" t="s">
        <v>237</v>
      </c>
      <c r="D35" s="20" t="str">
        <f>VLOOKUP(C35,Справочники!$A:$B,2,FALSE)</f>
        <v>Аквастабил</v>
      </c>
      <c r="E35" s="57" t="s">
        <v>338</v>
      </c>
      <c r="F35" s="87">
        <v>0.2</v>
      </c>
      <c r="G35" s="58" t="s">
        <v>340</v>
      </c>
    </row>
    <row r="36" spans="1:7" x14ac:dyDescent="0.2">
      <c r="A36" s="2" t="str">
        <f t="shared" si="0"/>
        <v>Ц_2Х_7</v>
      </c>
      <c r="B36" s="2" t="str">
        <f t="shared" si="3"/>
        <v>Ц_2</v>
      </c>
      <c r="C36" s="2" t="s">
        <v>238</v>
      </c>
      <c r="D36" s="20" t="str">
        <f>VLOOKUP(C36,Справочники!$A:$B,2,FALSE)</f>
        <v>Смывка ручная</v>
      </c>
      <c r="E36" s="57" t="s">
        <v>338</v>
      </c>
      <c r="F36" s="87">
        <v>0.2</v>
      </c>
      <c r="G36" s="58" t="s">
        <v>340</v>
      </c>
    </row>
    <row r="37" spans="1:7" x14ac:dyDescent="0.2">
      <c r="A37" s="2" t="str">
        <f t="shared" si="0"/>
        <v>Ц_2Х_8</v>
      </c>
      <c r="B37" s="2" t="str">
        <f t="shared" si="3"/>
        <v>Ц_2</v>
      </c>
      <c r="C37" s="2" t="s">
        <v>239</v>
      </c>
      <c r="D37" s="20" t="str">
        <f>VLOOKUP(C37,Справочники!$A:$B,2,FALSE)</f>
        <v>Смывка автоматическая</v>
      </c>
      <c r="E37" s="57" t="s">
        <v>338</v>
      </c>
      <c r="F37" s="87">
        <v>0.2</v>
      </c>
      <c r="G37" s="58" t="s">
        <v>340</v>
      </c>
    </row>
    <row r="38" spans="1:7" x14ac:dyDescent="0.2">
      <c r="A38" s="2" t="str">
        <f t="shared" si="0"/>
        <v>Ц_2Х_9</v>
      </c>
      <c r="B38" s="2" t="str">
        <f t="shared" si="3"/>
        <v>Ц_2</v>
      </c>
      <c r="C38" s="2" t="s">
        <v>240</v>
      </c>
      <c r="D38" s="20" t="str">
        <f>VLOOKUP(C38,Справочники!$A:$B,2,FALSE)</f>
        <v>Сиккатив для увлажняющего раствора</v>
      </c>
      <c r="E38" s="57" t="s">
        <v>338</v>
      </c>
      <c r="F38" s="87">
        <v>0.2</v>
      </c>
      <c r="G38" s="58" t="s">
        <v>340</v>
      </c>
    </row>
    <row r="39" spans="1:7" x14ac:dyDescent="0.2">
      <c r="A39" s="2" t="str">
        <f t="shared" si="0"/>
        <v>Ц_2Х_10</v>
      </c>
      <c r="B39" s="2" t="str">
        <f t="shared" si="3"/>
        <v>Ц_2</v>
      </c>
      <c r="C39" s="2" t="s">
        <v>241</v>
      </c>
      <c r="D39" s="20" t="str">
        <f>VLOOKUP(C39,Справочники!$A:$B,2,FALSE)</f>
        <v>Антисиккатив</v>
      </c>
      <c r="E39" s="57" t="s">
        <v>338</v>
      </c>
      <c r="F39" s="87">
        <v>0.2</v>
      </c>
      <c r="G39" s="58" t="s">
        <v>340</v>
      </c>
    </row>
    <row r="40" spans="1:7" x14ac:dyDescent="0.2">
      <c r="A40" s="2" t="str">
        <f t="shared" si="0"/>
        <v>Ц_2Х_11</v>
      </c>
      <c r="B40" s="2" t="str">
        <f t="shared" si="3"/>
        <v>Ц_2</v>
      </c>
      <c r="C40" s="2" t="s">
        <v>242</v>
      </c>
      <c r="D40" s="20" t="str">
        <f>VLOOKUP(C40,Справочники!$A:$B,2,FALSE)</f>
        <v>Антисиккатив-спрей</v>
      </c>
      <c r="E40" s="57" t="s">
        <v>338</v>
      </c>
      <c r="F40" s="87">
        <v>0.2</v>
      </c>
      <c r="G40" s="58" t="s">
        <v>340</v>
      </c>
    </row>
    <row r="41" spans="1:7" x14ac:dyDescent="0.2">
      <c r="A41" s="2" t="str">
        <f t="shared" si="0"/>
        <v>Ц_21.7</v>
      </c>
      <c r="B41" s="2" t="str">
        <f t="shared" si="3"/>
        <v>Ц_2</v>
      </c>
      <c r="C41" s="1" t="s">
        <v>169</v>
      </c>
      <c r="D41" s="20" t="str">
        <f>VLOOKUP(C41,Справочники!$A:$B,2,FALSE)</f>
        <v>Офсетная резина</v>
      </c>
      <c r="E41" s="57" t="s">
        <v>338</v>
      </c>
      <c r="F41" s="87">
        <v>0.2</v>
      </c>
      <c r="G41" s="58" t="s">
        <v>340</v>
      </c>
    </row>
    <row r="42" spans="1:7" x14ac:dyDescent="0.2">
      <c r="A42" s="2" t="str">
        <f t="shared" si="0"/>
        <v>Ц_21.10</v>
      </c>
      <c r="B42" s="2" t="str">
        <f t="shared" si="3"/>
        <v>Ц_2</v>
      </c>
      <c r="C42" s="1" t="s">
        <v>172</v>
      </c>
      <c r="D42" s="21" t="str">
        <f>VLOOKUP(C42,Справочники!$A:$B,2,FALSE)</f>
        <v>Заработная плата</v>
      </c>
      <c r="E42" s="57" t="s">
        <v>316</v>
      </c>
      <c r="F42" s="87">
        <v>10</v>
      </c>
      <c r="G42" s="58" t="s">
        <v>303</v>
      </c>
    </row>
    <row r="43" spans="1:7" s="53" customFormat="1" x14ac:dyDescent="0.2">
      <c r="A43" s="63" t="str">
        <f t="shared" si="0"/>
        <v>Ц_3</v>
      </c>
      <c r="B43" s="63" t="s">
        <v>192</v>
      </c>
      <c r="D43" s="64" t="str">
        <f>VLOOKUP(B43,Справочники!$A:$B,2,FALSE)</f>
        <v>Печатная машина КВА 105</v>
      </c>
      <c r="E43" s="60"/>
      <c r="F43" s="59"/>
      <c r="G43" s="61"/>
    </row>
    <row r="44" spans="1:7" x14ac:dyDescent="0.2">
      <c r="A44" s="2" t="str">
        <f t="shared" si="0"/>
        <v>Ц_31.5</v>
      </c>
      <c r="B44" s="2" t="str">
        <f>B$43</f>
        <v>Ц_3</v>
      </c>
      <c r="C44" s="1" t="s">
        <v>167</v>
      </c>
      <c r="D44" s="13" t="str">
        <f>VLOOKUP(C44,Справочники!$A:$B,2,FALSE)</f>
        <v>Краска и лак</v>
      </c>
      <c r="E44" s="57"/>
      <c r="F44" s="21"/>
      <c r="G44" s="58"/>
    </row>
    <row r="45" spans="1:7" x14ac:dyDescent="0.2">
      <c r="A45" s="2" t="str">
        <f t="shared" si="0"/>
        <v>Ц_3К_1.1</v>
      </c>
      <c r="B45" s="2" t="str">
        <f t="shared" ref="B45:B66" si="4">B$43</f>
        <v>Ц_3</v>
      </c>
      <c r="C45" s="2" t="s">
        <v>246</v>
      </c>
      <c r="D45" s="13" t="str">
        <f>VLOOKUP(C45,Справочники!$A:$B,2,FALSE)</f>
        <v>Триадная краска</v>
      </c>
      <c r="E45" s="57" t="s">
        <v>338</v>
      </c>
      <c r="F45" s="87"/>
      <c r="G45" s="58" t="s">
        <v>339</v>
      </c>
    </row>
    <row r="46" spans="1:7" x14ac:dyDescent="0.2">
      <c r="A46" s="2" t="str">
        <f t="shared" si="0"/>
        <v>Ц_3К_1.2</v>
      </c>
      <c r="B46" s="2" t="str">
        <f t="shared" si="4"/>
        <v>Ц_3</v>
      </c>
      <c r="C46" s="2" t="s">
        <v>247</v>
      </c>
      <c r="D46" s="13" t="str">
        <f>VLOOKUP(C46,Справочники!$A:$B,2,FALSE)</f>
        <v>Понтоны обычные</v>
      </c>
      <c r="E46" s="57" t="s">
        <v>338</v>
      </c>
      <c r="F46" s="87"/>
      <c r="G46" s="58" t="s">
        <v>339</v>
      </c>
    </row>
    <row r="47" spans="1:7" x14ac:dyDescent="0.2">
      <c r="A47" s="2" t="str">
        <f t="shared" si="0"/>
        <v>Ц_3К_1.3</v>
      </c>
      <c r="B47" s="2" t="str">
        <f t="shared" si="4"/>
        <v>Ц_3</v>
      </c>
      <c r="C47" s="2" t="s">
        <v>248</v>
      </c>
      <c r="D47" s="13" t="str">
        <f>VLOOKUP(C47,Справочники!$A:$B,2,FALSE)</f>
        <v>Понтоны металлизированные</v>
      </c>
      <c r="E47" s="57" t="s">
        <v>338</v>
      </c>
      <c r="F47" s="87"/>
      <c r="G47" s="58" t="s">
        <v>339</v>
      </c>
    </row>
    <row r="48" spans="1:7" x14ac:dyDescent="0.2">
      <c r="A48" s="2" t="str">
        <f t="shared" si="0"/>
        <v>Ц_3К_2.1.1</v>
      </c>
      <c r="B48" s="2" t="str">
        <f t="shared" si="4"/>
        <v>Ц_3</v>
      </c>
      <c r="C48" s="2" t="s">
        <v>250</v>
      </c>
      <c r="D48" s="13" t="str">
        <f>VLOOKUP(C48,Справочники!$A:$B,2,FALSE)</f>
        <v>Лак вододисперсионный матовый</v>
      </c>
      <c r="E48" s="57" t="s">
        <v>338</v>
      </c>
      <c r="F48" s="87"/>
      <c r="G48" s="58" t="s">
        <v>339</v>
      </c>
    </row>
    <row r="49" spans="1:7" x14ac:dyDescent="0.2">
      <c r="A49" s="2" t="str">
        <f t="shared" si="0"/>
        <v>Ц_3К_2.1.2</v>
      </c>
      <c r="B49" s="2" t="str">
        <f t="shared" si="4"/>
        <v>Ц_3</v>
      </c>
      <c r="C49" s="2" t="s">
        <v>251</v>
      </c>
      <c r="D49" s="13" t="str">
        <f>VLOOKUP(C49,Справочники!$A:$B,2,FALSE)</f>
        <v>Лак вододисперсионный глянцевый</v>
      </c>
      <c r="E49" s="57" t="s">
        <v>338</v>
      </c>
      <c r="F49" s="87"/>
      <c r="G49" s="58" t="s">
        <v>339</v>
      </c>
    </row>
    <row r="50" spans="1:7" x14ac:dyDescent="0.2">
      <c r="A50" s="2" t="str">
        <f t="shared" si="0"/>
        <v>Ц_3К_2.1.3</v>
      </c>
      <c r="B50" s="2" t="str">
        <f t="shared" si="4"/>
        <v>Ц_3</v>
      </c>
      <c r="C50" s="2" t="s">
        <v>252</v>
      </c>
      <c r="D50" s="13" t="str">
        <f>VLOOKUP(C50,Справочники!$A:$B,2,FALSE)</f>
        <v>Лак вододисперсионный универсальный</v>
      </c>
      <c r="E50" s="57" t="s">
        <v>338</v>
      </c>
      <c r="F50" s="87"/>
      <c r="G50" s="58" t="s">
        <v>339</v>
      </c>
    </row>
    <row r="51" spans="1:7" x14ac:dyDescent="0.2">
      <c r="A51" s="2" t="str">
        <f t="shared" si="0"/>
        <v>Ц_3К_2.1.4</v>
      </c>
      <c r="B51" s="2" t="str">
        <f t="shared" si="4"/>
        <v>Ц_3</v>
      </c>
      <c r="C51" s="2" t="s">
        <v>253</v>
      </c>
      <c r="D51" s="13" t="str">
        <f>VLOOKUP(C51,Справочники!$A:$B,2,FALSE)</f>
        <v>Лак вододисперсионный праймер</v>
      </c>
      <c r="E51" s="57" t="s">
        <v>338</v>
      </c>
      <c r="F51" s="87"/>
      <c r="G51" s="58" t="s">
        <v>339</v>
      </c>
    </row>
    <row r="52" spans="1:7" x14ac:dyDescent="0.2">
      <c r="A52" s="2" t="str">
        <f t="shared" si="0"/>
        <v>Ц_3К_2.2.1</v>
      </c>
      <c r="B52" s="2" t="str">
        <f t="shared" si="4"/>
        <v>Ц_3</v>
      </c>
      <c r="C52" s="2" t="s">
        <v>255</v>
      </c>
      <c r="D52" s="13" t="str">
        <f>VLOOKUP(C52,Справочники!$A:$B,2,FALSE)</f>
        <v>Лак офсетный матовый</v>
      </c>
      <c r="E52" s="57" t="s">
        <v>338</v>
      </c>
      <c r="F52" s="87"/>
      <c r="G52" s="58" t="s">
        <v>339</v>
      </c>
    </row>
    <row r="53" spans="1:7" x14ac:dyDescent="0.2">
      <c r="A53" s="2" t="str">
        <f t="shared" si="0"/>
        <v>Ц_3К_2.2.2</v>
      </c>
      <c r="B53" s="2" t="str">
        <f t="shared" si="4"/>
        <v>Ц_3</v>
      </c>
      <c r="C53" s="2" t="s">
        <v>256</v>
      </c>
      <c r="D53" s="13" t="str">
        <f>VLOOKUP(C53,Справочники!$A:$B,2,FALSE)</f>
        <v>Лак офсетный глянцевый</v>
      </c>
      <c r="E53" s="57" t="s">
        <v>338</v>
      </c>
      <c r="F53" s="87"/>
      <c r="G53" s="58" t="s">
        <v>339</v>
      </c>
    </row>
    <row r="54" spans="1:7" x14ac:dyDescent="0.2">
      <c r="A54" s="2" t="str">
        <f t="shared" si="0"/>
        <v>Ц_3К_2.2.3</v>
      </c>
      <c r="B54" s="2" t="str">
        <f t="shared" si="4"/>
        <v>Ц_3</v>
      </c>
      <c r="C54" s="2" t="s">
        <v>257</v>
      </c>
      <c r="D54" s="13" t="str">
        <f>VLOOKUP(C54,Справочники!$A:$B,2,FALSE)</f>
        <v>Лак офсетный универсальный</v>
      </c>
      <c r="E54" s="57" t="s">
        <v>338</v>
      </c>
      <c r="F54" s="87"/>
      <c r="G54" s="58" t="s">
        <v>339</v>
      </c>
    </row>
    <row r="55" spans="1:7" x14ac:dyDescent="0.2">
      <c r="A55" s="2" t="str">
        <f t="shared" si="0"/>
        <v>Ц_3Р_1</v>
      </c>
      <c r="B55" s="2" t="str">
        <f t="shared" si="4"/>
        <v>Ц_3</v>
      </c>
      <c r="C55" s="2" t="s">
        <v>259</v>
      </c>
      <c r="D55" s="21" t="str">
        <f>VLOOKUP(C55,Справочники!$A:$B,2,FALSE)</f>
        <v>Офсетная резина для краски</v>
      </c>
      <c r="E55" s="57" t="s">
        <v>338</v>
      </c>
      <c r="F55" s="87">
        <v>2E-3</v>
      </c>
      <c r="G55" s="58" t="s">
        <v>340</v>
      </c>
    </row>
    <row r="56" spans="1:7" x14ac:dyDescent="0.2">
      <c r="A56" s="2" t="str">
        <f t="shared" si="0"/>
        <v>Ц_3Р_2</v>
      </c>
      <c r="B56" s="2" t="str">
        <f t="shared" si="4"/>
        <v>Ц_3</v>
      </c>
      <c r="C56" s="2" t="s">
        <v>260</v>
      </c>
      <c r="D56" s="21" t="str">
        <f>VLOOKUP(C56,Справочники!$A:$B,2,FALSE)</f>
        <v>Офсетное полотно для лака</v>
      </c>
      <c r="E56" s="57" t="s">
        <v>338</v>
      </c>
      <c r="F56" s="87">
        <v>3.0000000000000001E-3</v>
      </c>
      <c r="G56" s="58" t="s">
        <v>340</v>
      </c>
    </row>
    <row r="57" spans="1:7" x14ac:dyDescent="0.2">
      <c r="A57" s="2" t="str">
        <f t="shared" si="0"/>
        <v>Ц_31.6</v>
      </c>
      <c r="B57" s="2" t="str">
        <f t="shared" si="4"/>
        <v>Ц_3</v>
      </c>
      <c r="C57" s="1" t="s">
        <v>168</v>
      </c>
      <c r="D57" s="13" t="str">
        <f>VLOOKUP(C57,Справочники!$A:$B,2,FALSE)</f>
        <v>Химикаты</v>
      </c>
      <c r="E57" s="57"/>
      <c r="F57" s="86"/>
      <c r="G57" s="58"/>
    </row>
    <row r="58" spans="1:7" x14ac:dyDescent="0.2">
      <c r="A58" s="2" t="str">
        <f t="shared" si="0"/>
        <v>Ц_3Х_5</v>
      </c>
      <c r="B58" s="2" t="str">
        <f t="shared" si="4"/>
        <v>Ц_3</v>
      </c>
      <c r="C58" s="2" t="s">
        <v>236</v>
      </c>
      <c r="D58" s="20" t="str">
        <f>VLOOKUP(C58,Справочники!$A:$B,2,FALSE)</f>
        <v>Изопропиловый спирт</v>
      </c>
      <c r="E58" s="57" t="s">
        <v>338</v>
      </c>
      <c r="F58" s="87"/>
      <c r="G58" s="58" t="s">
        <v>340</v>
      </c>
    </row>
    <row r="59" spans="1:7" x14ac:dyDescent="0.2">
      <c r="A59" s="2" t="str">
        <f t="shared" si="0"/>
        <v>Ц_3Х_6</v>
      </c>
      <c r="B59" s="2" t="str">
        <f t="shared" si="4"/>
        <v>Ц_3</v>
      </c>
      <c r="C59" s="2" t="s">
        <v>237</v>
      </c>
      <c r="D59" s="20" t="str">
        <f>VLOOKUP(C59,Справочники!$A:$B,2,FALSE)</f>
        <v>Аквастабил</v>
      </c>
      <c r="E59" s="57" t="s">
        <v>338</v>
      </c>
      <c r="F59" s="87"/>
      <c r="G59" s="58" t="s">
        <v>340</v>
      </c>
    </row>
    <row r="60" spans="1:7" x14ac:dyDescent="0.2">
      <c r="A60" s="2" t="str">
        <f t="shared" si="0"/>
        <v>Ц_3Х_7</v>
      </c>
      <c r="B60" s="2" t="str">
        <f t="shared" si="4"/>
        <v>Ц_3</v>
      </c>
      <c r="C60" s="2" t="s">
        <v>238</v>
      </c>
      <c r="D60" s="20" t="str">
        <f>VLOOKUP(C60,Справочники!$A:$B,2,FALSE)</f>
        <v>Смывка ручная</v>
      </c>
      <c r="E60" s="57" t="s">
        <v>338</v>
      </c>
      <c r="F60" s="87"/>
      <c r="G60" s="58" t="s">
        <v>340</v>
      </c>
    </row>
    <row r="61" spans="1:7" x14ac:dyDescent="0.2">
      <c r="A61" s="2" t="str">
        <f t="shared" si="0"/>
        <v>Ц_3Х_8</v>
      </c>
      <c r="B61" s="2" t="str">
        <f t="shared" si="4"/>
        <v>Ц_3</v>
      </c>
      <c r="C61" s="2" t="s">
        <v>239</v>
      </c>
      <c r="D61" s="20" t="str">
        <f>VLOOKUP(C61,Справочники!$A:$B,2,FALSE)</f>
        <v>Смывка автоматическая</v>
      </c>
      <c r="E61" s="57" t="s">
        <v>338</v>
      </c>
      <c r="F61" s="87"/>
      <c r="G61" s="58" t="s">
        <v>340</v>
      </c>
    </row>
    <row r="62" spans="1:7" x14ac:dyDescent="0.2">
      <c r="A62" s="2" t="str">
        <f t="shared" si="0"/>
        <v>Ц_3Х_9</v>
      </c>
      <c r="B62" s="2" t="str">
        <f t="shared" si="4"/>
        <v>Ц_3</v>
      </c>
      <c r="C62" s="2" t="s">
        <v>240</v>
      </c>
      <c r="D62" s="20" t="str">
        <f>VLOOKUP(C62,Справочники!$A:$B,2,FALSE)</f>
        <v>Сиккатив для увлажняющего раствора</v>
      </c>
      <c r="E62" s="57" t="s">
        <v>338</v>
      </c>
      <c r="F62" s="87"/>
      <c r="G62" s="58" t="s">
        <v>340</v>
      </c>
    </row>
    <row r="63" spans="1:7" x14ac:dyDescent="0.2">
      <c r="A63" s="2" t="str">
        <f t="shared" si="0"/>
        <v>Ц_3Х_10</v>
      </c>
      <c r="B63" s="2" t="str">
        <f t="shared" si="4"/>
        <v>Ц_3</v>
      </c>
      <c r="C63" s="2" t="s">
        <v>241</v>
      </c>
      <c r="D63" s="20" t="str">
        <f>VLOOKUP(C63,Справочники!$A:$B,2,FALSE)</f>
        <v>Антисиккатив</v>
      </c>
      <c r="E63" s="57" t="s">
        <v>338</v>
      </c>
      <c r="F63" s="87"/>
      <c r="G63" s="58" t="s">
        <v>340</v>
      </c>
    </row>
    <row r="64" spans="1:7" x14ac:dyDescent="0.2">
      <c r="A64" s="2" t="str">
        <f t="shared" si="0"/>
        <v>Ц_3Х_11</v>
      </c>
      <c r="B64" s="2" t="str">
        <f t="shared" si="4"/>
        <v>Ц_3</v>
      </c>
      <c r="C64" s="2" t="s">
        <v>242</v>
      </c>
      <c r="D64" s="20" t="str">
        <f>VLOOKUP(C64,Справочники!$A:$B,2,FALSE)</f>
        <v>Антисиккатив-спрей</v>
      </c>
      <c r="E64" s="57" t="s">
        <v>338</v>
      </c>
      <c r="F64" s="87"/>
      <c r="G64" s="58" t="s">
        <v>340</v>
      </c>
    </row>
    <row r="65" spans="1:7" x14ac:dyDescent="0.2">
      <c r="A65" s="2" t="str">
        <f t="shared" si="0"/>
        <v>Ц_31.7</v>
      </c>
      <c r="B65" s="2" t="str">
        <f t="shared" si="4"/>
        <v>Ц_3</v>
      </c>
      <c r="C65" s="1" t="s">
        <v>169</v>
      </c>
      <c r="D65" s="20" t="str">
        <f>VLOOKUP(C65,Справочники!$A:$B,2,FALSE)</f>
        <v>Офсетная резина</v>
      </c>
      <c r="E65" s="57" t="s">
        <v>338</v>
      </c>
      <c r="F65" s="87"/>
      <c r="G65" s="58" t="s">
        <v>340</v>
      </c>
    </row>
    <row r="66" spans="1:7" x14ac:dyDescent="0.2">
      <c r="A66" s="2" t="str">
        <f t="shared" si="0"/>
        <v>Ц_31.10</v>
      </c>
      <c r="B66" s="2" t="str">
        <f t="shared" si="4"/>
        <v>Ц_3</v>
      </c>
      <c r="C66" s="1" t="s">
        <v>172</v>
      </c>
      <c r="D66" s="21" t="str">
        <f>VLOOKUP(C66,Справочники!$A:$B,2,FALSE)</f>
        <v>Заработная плата</v>
      </c>
      <c r="E66" s="57" t="s">
        <v>316</v>
      </c>
      <c r="F66" s="87"/>
      <c r="G66" s="58" t="s">
        <v>303</v>
      </c>
    </row>
    <row r="67" spans="1:7" s="53" customFormat="1" x14ac:dyDescent="0.2">
      <c r="A67" s="63" t="str">
        <f t="shared" si="0"/>
        <v>Ц_4</v>
      </c>
      <c r="B67" s="63" t="s">
        <v>193</v>
      </c>
      <c r="D67" s="64" t="str">
        <f>VLOOKUP(B67,Справочники!$A:$B,2,FALSE)</f>
        <v>Печатная машина Роланд 705 1</v>
      </c>
      <c r="E67" s="60"/>
      <c r="F67" s="59"/>
      <c r="G67" s="61"/>
    </row>
    <row r="68" spans="1:7" x14ac:dyDescent="0.2">
      <c r="A68" s="2" t="str">
        <f t="shared" si="0"/>
        <v>Ц_41.5</v>
      </c>
      <c r="B68" s="2" t="str">
        <f>B$67</f>
        <v>Ц_4</v>
      </c>
      <c r="C68" s="1" t="s">
        <v>167</v>
      </c>
      <c r="D68" s="13" t="str">
        <f>VLOOKUP(C68,Справочники!$A:$B,2,FALSE)</f>
        <v>Краска и лак</v>
      </c>
      <c r="E68" s="57"/>
      <c r="F68" s="21"/>
      <c r="G68" s="58"/>
    </row>
    <row r="69" spans="1:7" x14ac:dyDescent="0.2">
      <c r="A69" s="2" t="str">
        <f t="shared" si="0"/>
        <v>Ц_4К_1.1</v>
      </c>
      <c r="B69" s="2" t="str">
        <f t="shared" ref="B69:B90" si="5">B$67</f>
        <v>Ц_4</v>
      </c>
      <c r="C69" s="2" t="s">
        <v>246</v>
      </c>
      <c r="D69" s="13" t="str">
        <f>VLOOKUP(C69,Справочники!$A:$B,2,FALSE)</f>
        <v>Триадная краска</v>
      </c>
      <c r="E69" s="57" t="s">
        <v>338</v>
      </c>
      <c r="F69" s="87"/>
      <c r="G69" s="58" t="s">
        <v>339</v>
      </c>
    </row>
    <row r="70" spans="1:7" x14ac:dyDescent="0.2">
      <c r="A70" s="2" t="str">
        <f t="shared" si="0"/>
        <v>Ц_4К_1.2</v>
      </c>
      <c r="B70" s="2" t="str">
        <f t="shared" si="5"/>
        <v>Ц_4</v>
      </c>
      <c r="C70" s="2" t="s">
        <v>247</v>
      </c>
      <c r="D70" s="13" t="str">
        <f>VLOOKUP(C70,Справочники!$A:$B,2,FALSE)</f>
        <v>Понтоны обычные</v>
      </c>
      <c r="E70" s="57" t="s">
        <v>338</v>
      </c>
      <c r="F70" s="87"/>
      <c r="G70" s="58" t="s">
        <v>339</v>
      </c>
    </row>
    <row r="71" spans="1:7" x14ac:dyDescent="0.2">
      <c r="A71" s="2" t="str">
        <f t="shared" ref="A71:A140" si="6">CONCATENATE(B71,C71)</f>
        <v>Ц_4К_1.3</v>
      </c>
      <c r="B71" s="2" t="str">
        <f t="shared" si="5"/>
        <v>Ц_4</v>
      </c>
      <c r="C71" s="2" t="s">
        <v>248</v>
      </c>
      <c r="D71" s="13" t="str">
        <f>VLOOKUP(C71,Справочники!$A:$B,2,FALSE)</f>
        <v>Понтоны металлизированные</v>
      </c>
      <c r="E71" s="57" t="s">
        <v>338</v>
      </c>
      <c r="F71" s="87"/>
      <c r="G71" s="58" t="s">
        <v>339</v>
      </c>
    </row>
    <row r="72" spans="1:7" x14ac:dyDescent="0.2">
      <c r="A72" s="2" t="str">
        <f t="shared" si="6"/>
        <v>Ц_4К_2.1.1</v>
      </c>
      <c r="B72" s="2" t="str">
        <f t="shared" si="5"/>
        <v>Ц_4</v>
      </c>
      <c r="C72" s="2" t="s">
        <v>250</v>
      </c>
      <c r="D72" s="13" t="str">
        <f>VLOOKUP(C72,Справочники!$A:$B,2,FALSE)</f>
        <v>Лак вододисперсионный матовый</v>
      </c>
      <c r="E72" s="57" t="s">
        <v>338</v>
      </c>
      <c r="F72" s="87"/>
      <c r="G72" s="58" t="s">
        <v>339</v>
      </c>
    </row>
    <row r="73" spans="1:7" x14ac:dyDescent="0.2">
      <c r="A73" s="2" t="str">
        <f t="shared" si="6"/>
        <v>Ц_4К_2.1.2</v>
      </c>
      <c r="B73" s="2" t="str">
        <f t="shared" si="5"/>
        <v>Ц_4</v>
      </c>
      <c r="C73" s="2" t="s">
        <v>251</v>
      </c>
      <c r="D73" s="13" t="str">
        <f>VLOOKUP(C73,Справочники!$A:$B,2,FALSE)</f>
        <v>Лак вододисперсионный глянцевый</v>
      </c>
      <c r="E73" s="57" t="s">
        <v>338</v>
      </c>
      <c r="F73" s="87"/>
      <c r="G73" s="58" t="s">
        <v>339</v>
      </c>
    </row>
    <row r="74" spans="1:7" x14ac:dyDescent="0.2">
      <c r="A74" s="2" t="str">
        <f t="shared" si="6"/>
        <v>Ц_4К_2.1.3</v>
      </c>
      <c r="B74" s="2" t="str">
        <f t="shared" si="5"/>
        <v>Ц_4</v>
      </c>
      <c r="C74" s="2" t="s">
        <v>252</v>
      </c>
      <c r="D74" s="13" t="str">
        <f>VLOOKUP(C74,Справочники!$A:$B,2,FALSE)</f>
        <v>Лак вододисперсионный универсальный</v>
      </c>
      <c r="E74" s="57" t="s">
        <v>338</v>
      </c>
      <c r="F74" s="87"/>
      <c r="G74" s="58" t="s">
        <v>339</v>
      </c>
    </row>
    <row r="75" spans="1:7" x14ac:dyDescent="0.2">
      <c r="A75" s="2" t="str">
        <f t="shared" si="6"/>
        <v>Ц_4К_2.1.4</v>
      </c>
      <c r="B75" s="2" t="str">
        <f t="shared" si="5"/>
        <v>Ц_4</v>
      </c>
      <c r="C75" s="2" t="s">
        <v>253</v>
      </c>
      <c r="D75" s="13" t="str">
        <f>VLOOKUP(C75,Справочники!$A:$B,2,FALSE)</f>
        <v>Лак вододисперсионный праймер</v>
      </c>
      <c r="E75" s="57" t="s">
        <v>338</v>
      </c>
      <c r="F75" s="87"/>
      <c r="G75" s="58" t="s">
        <v>339</v>
      </c>
    </row>
    <row r="76" spans="1:7" x14ac:dyDescent="0.2">
      <c r="A76" s="2" t="str">
        <f t="shared" si="6"/>
        <v>Ц_4К_2.2.1</v>
      </c>
      <c r="B76" s="2" t="str">
        <f t="shared" si="5"/>
        <v>Ц_4</v>
      </c>
      <c r="C76" s="2" t="s">
        <v>255</v>
      </c>
      <c r="D76" s="13" t="str">
        <f>VLOOKUP(C76,Справочники!$A:$B,2,FALSE)</f>
        <v>Лак офсетный матовый</v>
      </c>
      <c r="E76" s="57" t="s">
        <v>338</v>
      </c>
      <c r="F76" s="87"/>
      <c r="G76" s="58" t="s">
        <v>339</v>
      </c>
    </row>
    <row r="77" spans="1:7" x14ac:dyDescent="0.2">
      <c r="A77" s="2" t="str">
        <f t="shared" si="6"/>
        <v>Ц_4К_2.2.2</v>
      </c>
      <c r="B77" s="2" t="str">
        <f t="shared" si="5"/>
        <v>Ц_4</v>
      </c>
      <c r="C77" s="2" t="s">
        <v>256</v>
      </c>
      <c r="D77" s="13" t="str">
        <f>VLOOKUP(C77,Справочники!$A:$B,2,FALSE)</f>
        <v>Лак офсетный глянцевый</v>
      </c>
      <c r="E77" s="57" t="s">
        <v>338</v>
      </c>
      <c r="F77" s="87"/>
      <c r="G77" s="58" t="s">
        <v>339</v>
      </c>
    </row>
    <row r="78" spans="1:7" x14ac:dyDescent="0.2">
      <c r="A78" s="2" t="str">
        <f t="shared" si="6"/>
        <v>Ц_4К_2.2.3</v>
      </c>
      <c r="B78" s="2" t="str">
        <f t="shared" si="5"/>
        <v>Ц_4</v>
      </c>
      <c r="C78" s="2" t="s">
        <v>257</v>
      </c>
      <c r="D78" s="13" t="str">
        <f>VLOOKUP(C78,Справочники!$A:$B,2,FALSE)</f>
        <v>Лак офсетный универсальный</v>
      </c>
      <c r="E78" s="57" t="s">
        <v>338</v>
      </c>
      <c r="F78" s="87"/>
      <c r="G78" s="58" t="s">
        <v>339</v>
      </c>
    </row>
    <row r="79" spans="1:7" x14ac:dyDescent="0.2">
      <c r="A79" s="2" t="str">
        <f t="shared" si="6"/>
        <v>Ц_4Р_1</v>
      </c>
      <c r="B79" s="2" t="str">
        <f t="shared" si="5"/>
        <v>Ц_4</v>
      </c>
      <c r="C79" s="2" t="s">
        <v>259</v>
      </c>
      <c r="D79" s="21" t="str">
        <f>VLOOKUP(C79,Справочники!$A:$B,2,FALSE)</f>
        <v>Офсетная резина для краски</v>
      </c>
      <c r="E79" s="57" t="s">
        <v>338</v>
      </c>
      <c r="F79" s="87">
        <v>2E-3</v>
      </c>
      <c r="G79" s="58" t="s">
        <v>340</v>
      </c>
    </row>
    <row r="80" spans="1:7" x14ac:dyDescent="0.2">
      <c r="A80" s="2" t="str">
        <f t="shared" si="6"/>
        <v>Ц_4Р_2</v>
      </c>
      <c r="B80" s="2" t="str">
        <f t="shared" si="5"/>
        <v>Ц_4</v>
      </c>
      <c r="C80" s="2" t="s">
        <v>260</v>
      </c>
      <c r="D80" s="21" t="str">
        <f>VLOOKUP(C80,Справочники!$A:$B,2,FALSE)</f>
        <v>Офсетное полотно для лака</v>
      </c>
      <c r="E80" s="57" t="s">
        <v>338</v>
      </c>
      <c r="F80" s="87">
        <v>3.0000000000000001E-3</v>
      </c>
      <c r="G80" s="58" t="s">
        <v>340</v>
      </c>
    </row>
    <row r="81" spans="1:7" x14ac:dyDescent="0.2">
      <c r="A81" s="2" t="str">
        <f t="shared" si="6"/>
        <v>Ц_41.6</v>
      </c>
      <c r="B81" s="2" t="str">
        <f t="shared" si="5"/>
        <v>Ц_4</v>
      </c>
      <c r="C81" s="1" t="s">
        <v>168</v>
      </c>
      <c r="D81" s="13" t="str">
        <f>VLOOKUP(C81,Справочники!$A:$B,2,FALSE)</f>
        <v>Химикаты</v>
      </c>
      <c r="E81" s="57"/>
      <c r="F81" s="21"/>
      <c r="G81" s="58"/>
    </row>
    <row r="82" spans="1:7" x14ac:dyDescent="0.2">
      <c r="A82" s="2" t="str">
        <f t="shared" si="6"/>
        <v>Ц_4Х_5</v>
      </c>
      <c r="B82" s="2" t="str">
        <f t="shared" si="5"/>
        <v>Ц_4</v>
      </c>
      <c r="C82" s="2" t="s">
        <v>236</v>
      </c>
      <c r="D82" s="20" t="str">
        <f>VLOOKUP(C82,Справочники!$A:$B,2,FALSE)</f>
        <v>Изопропиловый спирт</v>
      </c>
      <c r="E82" s="57" t="s">
        <v>338</v>
      </c>
      <c r="F82" s="87"/>
      <c r="G82" s="58" t="s">
        <v>340</v>
      </c>
    </row>
    <row r="83" spans="1:7" x14ac:dyDescent="0.2">
      <c r="A83" s="2" t="str">
        <f t="shared" si="6"/>
        <v>Ц_4Х_6</v>
      </c>
      <c r="B83" s="2" t="str">
        <f t="shared" si="5"/>
        <v>Ц_4</v>
      </c>
      <c r="C83" s="2" t="s">
        <v>237</v>
      </c>
      <c r="D83" s="20" t="str">
        <f>VLOOKUP(C83,Справочники!$A:$B,2,FALSE)</f>
        <v>Аквастабил</v>
      </c>
      <c r="E83" s="57" t="s">
        <v>338</v>
      </c>
      <c r="F83" s="87"/>
      <c r="G83" s="58" t="s">
        <v>340</v>
      </c>
    </row>
    <row r="84" spans="1:7" x14ac:dyDescent="0.2">
      <c r="A84" s="2" t="str">
        <f t="shared" si="6"/>
        <v>Ц_4Х_7</v>
      </c>
      <c r="B84" s="2" t="str">
        <f t="shared" si="5"/>
        <v>Ц_4</v>
      </c>
      <c r="C84" s="2" t="s">
        <v>238</v>
      </c>
      <c r="D84" s="20" t="str">
        <f>VLOOKUP(C84,Справочники!$A:$B,2,FALSE)</f>
        <v>Смывка ручная</v>
      </c>
      <c r="E84" s="57" t="s">
        <v>338</v>
      </c>
      <c r="F84" s="87"/>
      <c r="G84" s="58" t="s">
        <v>340</v>
      </c>
    </row>
    <row r="85" spans="1:7" x14ac:dyDescent="0.2">
      <c r="A85" s="2" t="str">
        <f t="shared" si="6"/>
        <v>Ц_4Х_8</v>
      </c>
      <c r="B85" s="2" t="str">
        <f t="shared" si="5"/>
        <v>Ц_4</v>
      </c>
      <c r="C85" s="2" t="s">
        <v>239</v>
      </c>
      <c r="D85" s="20" t="str">
        <f>VLOOKUP(C85,Справочники!$A:$B,2,FALSE)</f>
        <v>Смывка автоматическая</v>
      </c>
      <c r="E85" s="57" t="s">
        <v>338</v>
      </c>
      <c r="F85" s="87"/>
      <c r="G85" s="58" t="s">
        <v>340</v>
      </c>
    </row>
    <row r="86" spans="1:7" x14ac:dyDescent="0.2">
      <c r="A86" s="2" t="str">
        <f t="shared" si="6"/>
        <v>Ц_4Х_9</v>
      </c>
      <c r="B86" s="2" t="str">
        <f t="shared" si="5"/>
        <v>Ц_4</v>
      </c>
      <c r="C86" s="2" t="s">
        <v>240</v>
      </c>
      <c r="D86" s="20" t="str">
        <f>VLOOKUP(C86,Справочники!$A:$B,2,FALSE)</f>
        <v>Сиккатив для увлажняющего раствора</v>
      </c>
      <c r="E86" s="57" t="s">
        <v>338</v>
      </c>
      <c r="F86" s="87"/>
      <c r="G86" s="58" t="s">
        <v>340</v>
      </c>
    </row>
    <row r="87" spans="1:7" x14ac:dyDescent="0.2">
      <c r="A87" s="2" t="str">
        <f t="shared" si="6"/>
        <v>Ц_4Х_10</v>
      </c>
      <c r="B87" s="2" t="str">
        <f t="shared" si="5"/>
        <v>Ц_4</v>
      </c>
      <c r="C87" s="2" t="s">
        <v>241</v>
      </c>
      <c r="D87" s="20" t="str">
        <f>VLOOKUP(C87,Справочники!$A:$B,2,FALSE)</f>
        <v>Антисиккатив</v>
      </c>
      <c r="E87" s="57" t="s">
        <v>338</v>
      </c>
      <c r="F87" s="87"/>
      <c r="G87" s="58" t="s">
        <v>340</v>
      </c>
    </row>
    <row r="88" spans="1:7" x14ac:dyDescent="0.2">
      <c r="A88" s="2" t="str">
        <f t="shared" si="6"/>
        <v>Ц_4Х_11</v>
      </c>
      <c r="B88" s="2" t="str">
        <f t="shared" si="5"/>
        <v>Ц_4</v>
      </c>
      <c r="C88" s="2" t="s">
        <v>242</v>
      </c>
      <c r="D88" s="20" t="str">
        <f>VLOOKUP(C88,Справочники!$A:$B,2,FALSE)</f>
        <v>Антисиккатив-спрей</v>
      </c>
      <c r="E88" s="57" t="s">
        <v>338</v>
      </c>
      <c r="F88" s="87"/>
      <c r="G88" s="58" t="s">
        <v>340</v>
      </c>
    </row>
    <row r="89" spans="1:7" x14ac:dyDescent="0.2">
      <c r="A89" s="2" t="str">
        <f t="shared" si="6"/>
        <v>Ц_41.7</v>
      </c>
      <c r="B89" s="2" t="str">
        <f t="shared" si="5"/>
        <v>Ц_4</v>
      </c>
      <c r="C89" s="1" t="s">
        <v>169</v>
      </c>
      <c r="D89" s="20" t="str">
        <f>VLOOKUP(C89,Справочники!$A:$B,2,FALSE)</f>
        <v>Офсетная резина</v>
      </c>
      <c r="E89" s="57" t="s">
        <v>338</v>
      </c>
      <c r="F89" s="87"/>
      <c r="G89" s="58" t="s">
        <v>340</v>
      </c>
    </row>
    <row r="90" spans="1:7" x14ac:dyDescent="0.2">
      <c r="A90" s="2" t="str">
        <f t="shared" si="6"/>
        <v>Ц_41.10</v>
      </c>
      <c r="B90" s="2" t="str">
        <f t="shared" si="5"/>
        <v>Ц_4</v>
      </c>
      <c r="C90" s="1" t="s">
        <v>172</v>
      </c>
      <c r="D90" s="21" t="str">
        <f>VLOOKUP(C90,Справочники!$A:$B,2,FALSE)</f>
        <v>Заработная плата</v>
      </c>
      <c r="E90" s="57" t="s">
        <v>316</v>
      </c>
      <c r="F90" s="87"/>
      <c r="G90" s="58" t="s">
        <v>303</v>
      </c>
    </row>
    <row r="91" spans="1:7" s="53" customFormat="1" x14ac:dyDescent="0.2">
      <c r="A91" s="63" t="str">
        <f t="shared" si="6"/>
        <v>Ц_5</v>
      </c>
      <c r="B91" s="63" t="s">
        <v>194</v>
      </c>
      <c r="D91" s="64" t="str">
        <f>VLOOKUP(B91,Справочники!$A:$B,2,FALSE)</f>
        <v>Печатная машина Роланд 705 2</v>
      </c>
      <c r="E91" s="60"/>
      <c r="F91" s="59"/>
      <c r="G91" s="61"/>
    </row>
    <row r="92" spans="1:7" x14ac:dyDescent="0.2">
      <c r="A92" s="2" t="str">
        <f t="shared" si="6"/>
        <v>Ц_51.5</v>
      </c>
      <c r="B92" s="2" t="str">
        <f>B$91</f>
        <v>Ц_5</v>
      </c>
      <c r="C92" s="1" t="s">
        <v>167</v>
      </c>
      <c r="D92" s="13" t="str">
        <f>VLOOKUP(C92,Справочники!$A:$B,2,FALSE)</f>
        <v>Краска и лак</v>
      </c>
      <c r="E92" s="57"/>
      <c r="F92" s="21"/>
      <c r="G92" s="58"/>
    </row>
    <row r="93" spans="1:7" x14ac:dyDescent="0.2">
      <c r="A93" s="2" t="str">
        <f t="shared" si="6"/>
        <v>Ц_5К_1.1</v>
      </c>
      <c r="B93" s="2" t="str">
        <f t="shared" ref="B93:B114" si="7">B$91</f>
        <v>Ц_5</v>
      </c>
      <c r="C93" s="2" t="s">
        <v>246</v>
      </c>
      <c r="D93" s="13" t="str">
        <f>VLOOKUP(C93,Справочники!$A:$B,2,FALSE)</f>
        <v>Триадная краска</v>
      </c>
      <c r="E93" s="57" t="s">
        <v>338</v>
      </c>
      <c r="F93" s="87"/>
      <c r="G93" s="58" t="s">
        <v>339</v>
      </c>
    </row>
    <row r="94" spans="1:7" x14ac:dyDescent="0.2">
      <c r="A94" s="2" t="str">
        <f t="shared" si="6"/>
        <v>Ц_5К_1.2</v>
      </c>
      <c r="B94" s="2" t="str">
        <f t="shared" si="7"/>
        <v>Ц_5</v>
      </c>
      <c r="C94" s="2" t="s">
        <v>247</v>
      </c>
      <c r="D94" s="13" t="str">
        <f>VLOOKUP(C94,Справочники!$A:$B,2,FALSE)</f>
        <v>Понтоны обычные</v>
      </c>
      <c r="E94" s="57" t="s">
        <v>338</v>
      </c>
      <c r="F94" s="87"/>
      <c r="G94" s="58" t="s">
        <v>339</v>
      </c>
    </row>
    <row r="95" spans="1:7" x14ac:dyDescent="0.2">
      <c r="A95" s="2" t="str">
        <f t="shared" si="6"/>
        <v>Ц_5К_1.3</v>
      </c>
      <c r="B95" s="2" t="str">
        <f t="shared" si="7"/>
        <v>Ц_5</v>
      </c>
      <c r="C95" s="2" t="s">
        <v>248</v>
      </c>
      <c r="D95" s="13" t="str">
        <f>VLOOKUP(C95,Справочники!$A:$B,2,FALSE)</f>
        <v>Понтоны металлизированные</v>
      </c>
      <c r="E95" s="57" t="s">
        <v>338</v>
      </c>
      <c r="F95" s="87"/>
      <c r="G95" s="58" t="s">
        <v>339</v>
      </c>
    </row>
    <row r="96" spans="1:7" x14ac:dyDescent="0.2">
      <c r="A96" s="2" t="str">
        <f t="shared" si="6"/>
        <v>Ц_5К_2.1.1</v>
      </c>
      <c r="B96" s="2" t="str">
        <f t="shared" si="7"/>
        <v>Ц_5</v>
      </c>
      <c r="C96" s="2" t="s">
        <v>250</v>
      </c>
      <c r="D96" s="13" t="str">
        <f>VLOOKUP(C96,Справочники!$A:$B,2,FALSE)</f>
        <v>Лак вододисперсионный матовый</v>
      </c>
      <c r="E96" s="57" t="s">
        <v>338</v>
      </c>
      <c r="F96" s="87"/>
      <c r="G96" s="58" t="s">
        <v>339</v>
      </c>
    </row>
    <row r="97" spans="1:7" x14ac:dyDescent="0.2">
      <c r="A97" s="2" t="str">
        <f t="shared" si="6"/>
        <v>Ц_5К_2.1.2</v>
      </c>
      <c r="B97" s="2" t="str">
        <f t="shared" si="7"/>
        <v>Ц_5</v>
      </c>
      <c r="C97" s="2" t="s">
        <v>251</v>
      </c>
      <c r="D97" s="13" t="str">
        <f>VLOOKUP(C97,Справочники!$A:$B,2,FALSE)</f>
        <v>Лак вододисперсионный глянцевый</v>
      </c>
      <c r="E97" s="57" t="s">
        <v>338</v>
      </c>
      <c r="F97" s="87"/>
      <c r="G97" s="58" t="s">
        <v>339</v>
      </c>
    </row>
    <row r="98" spans="1:7" x14ac:dyDescent="0.2">
      <c r="A98" s="2" t="str">
        <f t="shared" si="6"/>
        <v>Ц_5К_2.1.3</v>
      </c>
      <c r="B98" s="2" t="str">
        <f t="shared" si="7"/>
        <v>Ц_5</v>
      </c>
      <c r="C98" s="2" t="s">
        <v>252</v>
      </c>
      <c r="D98" s="13" t="str">
        <f>VLOOKUP(C98,Справочники!$A:$B,2,FALSE)</f>
        <v>Лак вододисперсионный универсальный</v>
      </c>
      <c r="E98" s="57" t="s">
        <v>338</v>
      </c>
      <c r="F98" s="87"/>
      <c r="G98" s="58" t="s">
        <v>339</v>
      </c>
    </row>
    <row r="99" spans="1:7" x14ac:dyDescent="0.2">
      <c r="A99" s="2" t="str">
        <f t="shared" si="6"/>
        <v>Ц_5К_2.1.4</v>
      </c>
      <c r="B99" s="2" t="str">
        <f t="shared" si="7"/>
        <v>Ц_5</v>
      </c>
      <c r="C99" s="2" t="s">
        <v>253</v>
      </c>
      <c r="D99" s="13" t="str">
        <f>VLOOKUP(C99,Справочники!$A:$B,2,FALSE)</f>
        <v>Лак вододисперсионный праймер</v>
      </c>
      <c r="E99" s="57" t="s">
        <v>338</v>
      </c>
      <c r="F99" s="87"/>
      <c r="G99" s="58" t="s">
        <v>339</v>
      </c>
    </row>
    <row r="100" spans="1:7" x14ac:dyDescent="0.2">
      <c r="A100" s="2" t="str">
        <f t="shared" si="6"/>
        <v>Ц_5К_2.2.1</v>
      </c>
      <c r="B100" s="2" t="str">
        <f t="shared" si="7"/>
        <v>Ц_5</v>
      </c>
      <c r="C100" s="2" t="s">
        <v>255</v>
      </c>
      <c r="D100" s="13" t="str">
        <f>VLOOKUP(C100,Справочники!$A:$B,2,FALSE)</f>
        <v>Лак офсетный матовый</v>
      </c>
      <c r="E100" s="57" t="s">
        <v>338</v>
      </c>
      <c r="F100" s="87"/>
      <c r="G100" s="58" t="s">
        <v>339</v>
      </c>
    </row>
    <row r="101" spans="1:7" x14ac:dyDescent="0.2">
      <c r="A101" s="2" t="str">
        <f t="shared" si="6"/>
        <v>Ц_5К_2.2.2</v>
      </c>
      <c r="B101" s="2" t="str">
        <f t="shared" si="7"/>
        <v>Ц_5</v>
      </c>
      <c r="C101" s="2" t="s">
        <v>256</v>
      </c>
      <c r="D101" s="13" t="str">
        <f>VLOOKUP(C101,Справочники!$A:$B,2,FALSE)</f>
        <v>Лак офсетный глянцевый</v>
      </c>
      <c r="E101" s="57" t="s">
        <v>338</v>
      </c>
      <c r="F101" s="87"/>
      <c r="G101" s="58" t="s">
        <v>339</v>
      </c>
    </row>
    <row r="102" spans="1:7" x14ac:dyDescent="0.2">
      <c r="A102" s="2" t="str">
        <f t="shared" si="6"/>
        <v>Ц_5К_2.2.3</v>
      </c>
      <c r="B102" s="2" t="str">
        <f t="shared" si="7"/>
        <v>Ц_5</v>
      </c>
      <c r="C102" s="2" t="s">
        <v>257</v>
      </c>
      <c r="D102" s="13" t="str">
        <f>VLOOKUP(C102,Справочники!$A:$B,2,FALSE)</f>
        <v>Лак офсетный универсальный</v>
      </c>
      <c r="E102" s="57" t="s">
        <v>338</v>
      </c>
      <c r="F102" s="87"/>
      <c r="G102" s="58" t="s">
        <v>339</v>
      </c>
    </row>
    <row r="103" spans="1:7" x14ac:dyDescent="0.2">
      <c r="A103" s="2" t="str">
        <f t="shared" si="6"/>
        <v>Ц_5Р_1</v>
      </c>
      <c r="B103" s="2" t="str">
        <f t="shared" si="7"/>
        <v>Ц_5</v>
      </c>
      <c r="C103" s="2" t="s">
        <v>259</v>
      </c>
      <c r="D103" s="21" t="str">
        <f>VLOOKUP(C103,Справочники!$A:$B,2,FALSE)</f>
        <v>Офсетная резина для краски</v>
      </c>
      <c r="E103" s="57" t="s">
        <v>338</v>
      </c>
      <c r="F103" s="87">
        <v>2E-3</v>
      </c>
      <c r="G103" s="58" t="s">
        <v>340</v>
      </c>
    </row>
    <row r="104" spans="1:7" x14ac:dyDescent="0.2">
      <c r="A104" s="2" t="str">
        <f t="shared" si="6"/>
        <v>Ц_5Р_2</v>
      </c>
      <c r="B104" s="2" t="str">
        <f t="shared" si="7"/>
        <v>Ц_5</v>
      </c>
      <c r="C104" s="2" t="s">
        <v>260</v>
      </c>
      <c r="D104" s="21" t="str">
        <f>VLOOKUP(C104,Справочники!$A:$B,2,FALSE)</f>
        <v>Офсетное полотно для лака</v>
      </c>
      <c r="E104" s="57" t="s">
        <v>338</v>
      </c>
      <c r="F104" s="87">
        <v>3.0000000000000001E-3</v>
      </c>
      <c r="G104" s="58" t="s">
        <v>340</v>
      </c>
    </row>
    <row r="105" spans="1:7" x14ac:dyDescent="0.2">
      <c r="A105" s="2" t="str">
        <f t="shared" si="6"/>
        <v>Ц_51.6</v>
      </c>
      <c r="B105" s="2" t="str">
        <f t="shared" si="7"/>
        <v>Ц_5</v>
      </c>
      <c r="C105" s="1" t="s">
        <v>168</v>
      </c>
      <c r="D105" s="13" t="str">
        <f>VLOOKUP(C105,Справочники!$A:$B,2,FALSE)</f>
        <v>Химикаты</v>
      </c>
      <c r="E105" s="57"/>
      <c r="F105" s="21"/>
      <c r="G105" s="58"/>
    </row>
    <row r="106" spans="1:7" x14ac:dyDescent="0.2">
      <c r="A106" s="2" t="str">
        <f t="shared" si="6"/>
        <v>Ц_5Х_5</v>
      </c>
      <c r="B106" s="2" t="str">
        <f t="shared" si="7"/>
        <v>Ц_5</v>
      </c>
      <c r="C106" s="2" t="s">
        <v>236</v>
      </c>
      <c r="D106" s="20" t="str">
        <f>VLOOKUP(C106,Справочники!$A:$B,2,FALSE)</f>
        <v>Изопропиловый спирт</v>
      </c>
      <c r="E106" s="57" t="s">
        <v>338</v>
      </c>
      <c r="F106" s="87"/>
      <c r="G106" s="58" t="s">
        <v>340</v>
      </c>
    </row>
    <row r="107" spans="1:7" x14ac:dyDescent="0.2">
      <c r="A107" s="2" t="str">
        <f t="shared" si="6"/>
        <v>Ц_5Х_6</v>
      </c>
      <c r="B107" s="2" t="str">
        <f t="shared" si="7"/>
        <v>Ц_5</v>
      </c>
      <c r="C107" s="2" t="s">
        <v>237</v>
      </c>
      <c r="D107" s="20" t="str">
        <f>VLOOKUP(C107,Справочники!$A:$B,2,FALSE)</f>
        <v>Аквастабил</v>
      </c>
      <c r="E107" s="57" t="s">
        <v>338</v>
      </c>
      <c r="F107" s="87"/>
      <c r="G107" s="58" t="s">
        <v>340</v>
      </c>
    </row>
    <row r="108" spans="1:7" x14ac:dyDescent="0.2">
      <c r="A108" s="2" t="str">
        <f t="shared" si="6"/>
        <v>Ц_5Х_7</v>
      </c>
      <c r="B108" s="2" t="str">
        <f t="shared" si="7"/>
        <v>Ц_5</v>
      </c>
      <c r="C108" s="2" t="s">
        <v>238</v>
      </c>
      <c r="D108" s="20" t="str">
        <f>VLOOKUP(C108,Справочники!$A:$B,2,FALSE)</f>
        <v>Смывка ручная</v>
      </c>
      <c r="E108" s="57" t="s">
        <v>338</v>
      </c>
      <c r="F108" s="87"/>
      <c r="G108" s="58" t="s">
        <v>340</v>
      </c>
    </row>
    <row r="109" spans="1:7" x14ac:dyDescent="0.2">
      <c r="A109" s="2" t="str">
        <f t="shared" si="6"/>
        <v>Ц_5Х_8</v>
      </c>
      <c r="B109" s="2" t="str">
        <f t="shared" si="7"/>
        <v>Ц_5</v>
      </c>
      <c r="C109" s="2" t="s">
        <v>239</v>
      </c>
      <c r="D109" s="20" t="str">
        <f>VLOOKUP(C109,Справочники!$A:$B,2,FALSE)</f>
        <v>Смывка автоматическая</v>
      </c>
      <c r="E109" s="57" t="s">
        <v>338</v>
      </c>
      <c r="F109" s="87"/>
      <c r="G109" s="58" t="s">
        <v>340</v>
      </c>
    </row>
    <row r="110" spans="1:7" x14ac:dyDescent="0.2">
      <c r="A110" s="2" t="str">
        <f t="shared" si="6"/>
        <v>Ц_5Х_9</v>
      </c>
      <c r="B110" s="2" t="str">
        <f t="shared" si="7"/>
        <v>Ц_5</v>
      </c>
      <c r="C110" s="2" t="s">
        <v>240</v>
      </c>
      <c r="D110" s="20" t="str">
        <f>VLOOKUP(C110,Справочники!$A:$B,2,FALSE)</f>
        <v>Сиккатив для увлажняющего раствора</v>
      </c>
      <c r="E110" s="57" t="s">
        <v>338</v>
      </c>
      <c r="F110" s="87"/>
      <c r="G110" s="58" t="s">
        <v>340</v>
      </c>
    </row>
    <row r="111" spans="1:7" x14ac:dyDescent="0.2">
      <c r="A111" s="2" t="str">
        <f t="shared" si="6"/>
        <v>Ц_5Х_10</v>
      </c>
      <c r="B111" s="2" t="str">
        <f t="shared" si="7"/>
        <v>Ц_5</v>
      </c>
      <c r="C111" s="2" t="s">
        <v>241</v>
      </c>
      <c r="D111" s="20" t="str">
        <f>VLOOKUP(C111,Справочники!$A:$B,2,FALSE)</f>
        <v>Антисиккатив</v>
      </c>
      <c r="E111" s="57" t="s">
        <v>338</v>
      </c>
      <c r="F111" s="87"/>
      <c r="G111" s="58" t="s">
        <v>340</v>
      </c>
    </row>
    <row r="112" spans="1:7" x14ac:dyDescent="0.2">
      <c r="A112" s="2" t="str">
        <f t="shared" si="6"/>
        <v>Ц_5Х_11</v>
      </c>
      <c r="B112" s="2" t="str">
        <f t="shared" si="7"/>
        <v>Ц_5</v>
      </c>
      <c r="C112" s="2" t="s">
        <v>242</v>
      </c>
      <c r="D112" s="20" t="str">
        <f>VLOOKUP(C112,Справочники!$A:$B,2,FALSE)</f>
        <v>Антисиккатив-спрей</v>
      </c>
      <c r="E112" s="57" t="s">
        <v>338</v>
      </c>
      <c r="F112" s="87"/>
      <c r="G112" s="58" t="s">
        <v>340</v>
      </c>
    </row>
    <row r="113" spans="1:7" x14ac:dyDescent="0.2">
      <c r="A113" s="2" t="str">
        <f t="shared" si="6"/>
        <v>Ц_51.7</v>
      </c>
      <c r="B113" s="2" t="str">
        <f t="shared" si="7"/>
        <v>Ц_5</v>
      </c>
      <c r="C113" s="1" t="s">
        <v>169</v>
      </c>
      <c r="D113" s="20" t="str">
        <f>VLOOKUP(C113,Справочники!$A:$B,2,FALSE)</f>
        <v>Офсетная резина</v>
      </c>
      <c r="E113" s="57" t="s">
        <v>338</v>
      </c>
      <c r="F113" s="87"/>
      <c r="G113" s="58" t="s">
        <v>340</v>
      </c>
    </row>
    <row r="114" spans="1:7" x14ac:dyDescent="0.2">
      <c r="A114" s="2" t="str">
        <f t="shared" si="6"/>
        <v>Ц_51.10</v>
      </c>
      <c r="B114" s="2" t="str">
        <f t="shared" si="7"/>
        <v>Ц_5</v>
      </c>
      <c r="C114" s="1" t="s">
        <v>172</v>
      </c>
      <c r="D114" s="21" t="str">
        <f>VLOOKUP(C114,Справочники!$A:$B,2,FALSE)</f>
        <v>Заработная плата</v>
      </c>
      <c r="E114" s="57" t="s">
        <v>316</v>
      </c>
      <c r="F114" s="87"/>
      <c r="G114" s="58" t="s">
        <v>303</v>
      </c>
    </row>
    <row r="115" spans="1:7" s="53" customFormat="1" x14ac:dyDescent="0.2">
      <c r="A115" s="63" t="str">
        <f t="shared" si="6"/>
        <v>Ц_6</v>
      </c>
      <c r="B115" s="63" t="s">
        <v>195</v>
      </c>
      <c r="D115" s="64" t="str">
        <f>VLOOKUP(B115,Справочники!$A:$B,2,FALSE)</f>
        <v>Печатная машина Роланд 204</v>
      </c>
      <c r="E115" s="60"/>
      <c r="F115" s="59"/>
      <c r="G115" s="61"/>
    </row>
    <row r="116" spans="1:7" x14ac:dyDescent="0.2">
      <c r="A116" s="2" t="str">
        <f t="shared" si="6"/>
        <v>Ц_61.5</v>
      </c>
      <c r="B116" s="2" t="str">
        <f>B$115</f>
        <v>Ц_6</v>
      </c>
      <c r="C116" s="1" t="s">
        <v>167</v>
      </c>
      <c r="D116" s="13" t="str">
        <f>VLOOKUP(C116,Справочники!$A:$B,2,FALSE)</f>
        <v>Краска и лак</v>
      </c>
      <c r="E116" s="57"/>
      <c r="F116" s="21"/>
      <c r="G116" s="58"/>
    </row>
    <row r="117" spans="1:7" x14ac:dyDescent="0.2">
      <c r="A117" s="2" t="str">
        <f t="shared" si="6"/>
        <v>Ц_6К_1.1</v>
      </c>
      <c r="B117" s="2" t="str">
        <f t="shared" ref="B117:B138" si="8">B$115</f>
        <v>Ц_6</v>
      </c>
      <c r="C117" s="2" t="s">
        <v>246</v>
      </c>
      <c r="D117" s="13" t="str">
        <f>VLOOKUP(C117,Справочники!$A:$B,2,FALSE)</f>
        <v>Триадная краска</v>
      </c>
      <c r="E117" s="57" t="s">
        <v>338</v>
      </c>
      <c r="F117" s="87"/>
      <c r="G117" s="58" t="s">
        <v>339</v>
      </c>
    </row>
    <row r="118" spans="1:7" x14ac:dyDescent="0.2">
      <c r="A118" s="2" t="str">
        <f t="shared" si="6"/>
        <v>Ц_6К_1.2</v>
      </c>
      <c r="B118" s="2" t="str">
        <f t="shared" si="8"/>
        <v>Ц_6</v>
      </c>
      <c r="C118" s="2" t="s">
        <v>247</v>
      </c>
      <c r="D118" s="13" t="str">
        <f>VLOOKUP(C118,Справочники!$A:$B,2,FALSE)</f>
        <v>Понтоны обычные</v>
      </c>
      <c r="E118" s="57" t="s">
        <v>338</v>
      </c>
      <c r="F118" s="87"/>
      <c r="G118" s="58" t="s">
        <v>339</v>
      </c>
    </row>
    <row r="119" spans="1:7" x14ac:dyDescent="0.2">
      <c r="A119" s="2" t="str">
        <f t="shared" si="6"/>
        <v>Ц_6К_1.3</v>
      </c>
      <c r="B119" s="2" t="str">
        <f t="shared" si="8"/>
        <v>Ц_6</v>
      </c>
      <c r="C119" s="2" t="s">
        <v>248</v>
      </c>
      <c r="D119" s="13" t="str">
        <f>VLOOKUP(C119,Справочники!$A:$B,2,FALSE)</f>
        <v>Понтоны металлизированные</v>
      </c>
      <c r="E119" s="57" t="s">
        <v>338</v>
      </c>
      <c r="F119" s="87"/>
      <c r="G119" s="58" t="s">
        <v>339</v>
      </c>
    </row>
    <row r="120" spans="1:7" x14ac:dyDescent="0.2">
      <c r="A120" s="2" t="str">
        <f t="shared" si="6"/>
        <v>Ц_6К_2.1.1</v>
      </c>
      <c r="B120" s="2" t="str">
        <f t="shared" si="8"/>
        <v>Ц_6</v>
      </c>
      <c r="C120" s="2" t="s">
        <v>250</v>
      </c>
      <c r="D120" s="13" t="str">
        <f>VLOOKUP(C120,Справочники!$A:$B,2,FALSE)</f>
        <v>Лак вододисперсионный матовый</v>
      </c>
      <c r="E120" s="57" t="s">
        <v>338</v>
      </c>
      <c r="F120" s="87"/>
      <c r="G120" s="58" t="s">
        <v>339</v>
      </c>
    </row>
    <row r="121" spans="1:7" x14ac:dyDescent="0.2">
      <c r="A121" s="2" t="str">
        <f t="shared" si="6"/>
        <v>Ц_6К_2.1.2</v>
      </c>
      <c r="B121" s="2" t="str">
        <f t="shared" si="8"/>
        <v>Ц_6</v>
      </c>
      <c r="C121" s="2" t="s">
        <v>251</v>
      </c>
      <c r="D121" s="13" t="str">
        <f>VLOOKUP(C121,Справочники!$A:$B,2,FALSE)</f>
        <v>Лак вододисперсионный глянцевый</v>
      </c>
      <c r="E121" s="57" t="s">
        <v>338</v>
      </c>
      <c r="F121" s="87"/>
      <c r="G121" s="58" t="s">
        <v>339</v>
      </c>
    </row>
    <row r="122" spans="1:7" x14ac:dyDescent="0.2">
      <c r="A122" s="2" t="str">
        <f t="shared" si="6"/>
        <v>Ц_6К_2.1.3</v>
      </c>
      <c r="B122" s="2" t="str">
        <f t="shared" si="8"/>
        <v>Ц_6</v>
      </c>
      <c r="C122" s="2" t="s">
        <v>252</v>
      </c>
      <c r="D122" s="13" t="str">
        <f>VLOOKUP(C122,Справочники!$A:$B,2,FALSE)</f>
        <v>Лак вододисперсионный универсальный</v>
      </c>
      <c r="E122" s="57" t="s">
        <v>338</v>
      </c>
      <c r="F122" s="87"/>
      <c r="G122" s="58" t="s">
        <v>339</v>
      </c>
    </row>
    <row r="123" spans="1:7" x14ac:dyDescent="0.2">
      <c r="A123" s="2" t="str">
        <f t="shared" si="6"/>
        <v>Ц_6К_2.1.4</v>
      </c>
      <c r="B123" s="2" t="str">
        <f t="shared" si="8"/>
        <v>Ц_6</v>
      </c>
      <c r="C123" s="2" t="s">
        <v>253</v>
      </c>
      <c r="D123" s="13" t="str">
        <f>VLOOKUP(C123,Справочники!$A:$B,2,FALSE)</f>
        <v>Лак вододисперсионный праймер</v>
      </c>
      <c r="E123" s="57" t="s">
        <v>338</v>
      </c>
      <c r="F123" s="87"/>
      <c r="G123" s="58" t="s">
        <v>339</v>
      </c>
    </row>
    <row r="124" spans="1:7" x14ac:dyDescent="0.2">
      <c r="A124" s="2" t="str">
        <f t="shared" si="6"/>
        <v>Ц_6К_2.2.1</v>
      </c>
      <c r="B124" s="2" t="str">
        <f t="shared" si="8"/>
        <v>Ц_6</v>
      </c>
      <c r="C124" s="2" t="s">
        <v>255</v>
      </c>
      <c r="D124" s="13" t="str">
        <f>VLOOKUP(C124,Справочники!$A:$B,2,FALSE)</f>
        <v>Лак офсетный матовый</v>
      </c>
      <c r="E124" s="57" t="s">
        <v>338</v>
      </c>
      <c r="F124" s="87"/>
      <c r="G124" s="58" t="s">
        <v>339</v>
      </c>
    </row>
    <row r="125" spans="1:7" x14ac:dyDescent="0.2">
      <c r="A125" s="2" t="str">
        <f t="shared" si="6"/>
        <v>Ц_6К_2.2.2</v>
      </c>
      <c r="B125" s="2" t="str">
        <f t="shared" si="8"/>
        <v>Ц_6</v>
      </c>
      <c r="C125" s="2" t="s">
        <v>256</v>
      </c>
      <c r="D125" s="13" t="str">
        <f>VLOOKUP(C125,Справочники!$A:$B,2,FALSE)</f>
        <v>Лак офсетный глянцевый</v>
      </c>
      <c r="E125" s="57" t="s">
        <v>338</v>
      </c>
      <c r="F125" s="87"/>
      <c r="G125" s="58" t="s">
        <v>339</v>
      </c>
    </row>
    <row r="126" spans="1:7" x14ac:dyDescent="0.2">
      <c r="A126" s="2" t="str">
        <f t="shared" si="6"/>
        <v>Ц_6К_2.2.3</v>
      </c>
      <c r="B126" s="2" t="str">
        <f t="shared" si="8"/>
        <v>Ц_6</v>
      </c>
      <c r="C126" s="2" t="s">
        <v>257</v>
      </c>
      <c r="D126" s="13" t="str">
        <f>VLOOKUP(C126,Справочники!$A:$B,2,FALSE)</f>
        <v>Лак офсетный универсальный</v>
      </c>
      <c r="E126" s="57" t="s">
        <v>338</v>
      </c>
      <c r="F126" s="87"/>
      <c r="G126" s="58" t="s">
        <v>339</v>
      </c>
    </row>
    <row r="127" spans="1:7" x14ac:dyDescent="0.2">
      <c r="A127" s="2" t="str">
        <f t="shared" si="6"/>
        <v>Ц_6Р_1</v>
      </c>
      <c r="B127" s="2" t="str">
        <f t="shared" si="8"/>
        <v>Ц_6</v>
      </c>
      <c r="C127" s="2" t="s">
        <v>259</v>
      </c>
      <c r="D127" s="21" t="str">
        <f>VLOOKUP(C127,Справочники!$A:$B,2,FALSE)</f>
        <v>Офсетная резина для краски</v>
      </c>
      <c r="E127" s="57" t="s">
        <v>338</v>
      </c>
      <c r="F127" s="87">
        <v>2E-3</v>
      </c>
      <c r="G127" s="58" t="s">
        <v>340</v>
      </c>
    </row>
    <row r="128" spans="1:7" x14ac:dyDescent="0.2">
      <c r="A128" s="2" t="str">
        <f t="shared" si="6"/>
        <v>Ц_6Р_2</v>
      </c>
      <c r="B128" s="2" t="str">
        <f t="shared" si="8"/>
        <v>Ц_6</v>
      </c>
      <c r="C128" s="2" t="s">
        <v>260</v>
      </c>
      <c r="D128" s="21" t="str">
        <f>VLOOKUP(C128,Справочники!$A:$B,2,FALSE)</f>
        <v>Офсетное полотно для лака</v>
      </c>
      <c r="E128" s="57" t="s">
        <v>338</v>
      </c>
      <c r="F128" s="87">
        <v>3.0000000000000001E-3</v>
      </c>
      <c r="G128" s="58" t="s">
        <v>340</v>
      </c>
    </row>
    <row r="129" spans="1:7" x14ac:dyDescent="0.2">
      <c r="A129" s="2" t="str">
        <f t="shared" si="6"/>
        <v>Ц_61.6</v>
      </c>
      <c r="B129" s="2" t="str">
        <f t="shared" si="8"/>
        <v>Ц_6</v>
      </c>
      <c r="C129" s="1" t="s">
        <v>168</v>
      </c>
      <c r="D129" s="13" t="str">
        <f>VLOOKUP(C129,Справочники!$A:$B,2,FALSE)</f>
        <v>Химикаты</v>
      </c>
      <c r="E129" s="57"/>
      <c r="F129" s="21"/>
      <c r="G129" s="58"/>
    </row>
    <row r="130" spans="1:7" x14ac:dyDescent="0.2">
      <c r="A130" s="2" t="str">
        <f t="shared" si="6"/>
        <v>Ц_6Х_5</v>
      </c>
      <c r="B130" s="2" t="str">
        <f t="shared" si="8"/>
        <v>Ц_6</v>
      </c>
      <c r="C130" s="2" t="s">
        <v>236</v>
      </c>
      <c r="D130" s="20" t="str">
        <f>VLOOKUP(C130,Справочники!$A:$B,2,FALSE)</f>
        <v>Изопропиловый спирт</v>
      </c>
      <c r="E130" s="57" t="s">
        <v>338</v>
      </c>
      <c r="F130" s="87"/>
      <c r="G130" s="58" t="s">
        <v>340</v>
      </c>
    </row>
    <row r="131" spans="1:7" x14ac:dyDescent="0.2">
      <c r="A131" s="2" t="str">
        <f t="shared" si="6"/>
        <v>Ц_6Х_6</v>
      </c>
      <c r="B131" s="2" t="str">
        <f t="shared" si="8"/>
        <v>Ц_6</v>
      </c>
      <c r="C131" s="2" t="s">
        <v>237</v>
      </c>
      <c r="D131" s="20" t="str">
        <f>VLOOKUP(C131,Справочники!$A:$B,2,FALSE)</f>
        <v>Аквастабил</v>
      </c>
      <c r="E131" s="57" t="s">
        <v>338</v>
      </c>
      <c r="F131" s="87"/>
      <c r="G131" s="58" t="s">
        <v>340</v>
      </c>
    </row>
    <row r="132" spans="1:7" x14ac:dyDescent="0.2">
      <c r="A132" s="2" t="str">
        <f t="shared" si="6"/>
        <v>Ц_6Х_7</v>
      </c>
      <c r="B132" s="2" t="str">
        <f t="shared" si="8"/>
        <v>Ц_6</v>
      </c>
      <c r="C132" s="2" t="s">
        <v>238</v>
      </c>
      <c r="D132" s="20" t="str">
        <f>VLOOKUP(C132,Справочники!$A:$B,2,FALSE)</f>
        <v>Смывка ручная</v>
      </c>
      <c r="E132" s="57" t="s">
        <v>338</v>
      </c>
      <c r="F132" s="87"/>
      <c r="G132" s="58" t="s">
        <v>340</v>
      </c>
    </row>
    <row r="133" spans="1:7" x14ac:dyDescent="0.2">
      <c r="A133" s="2" t="str">
        <f t="shared" si="6"/>
        <v>Ц_6Х_8</v>
      </c>
      <c r="B133" s="2" t="str">
        <f t="shared" si="8"/>
        <v>Ц_6</v>
      </c>
      <c r="C133" s="2" t="s">
        <v>239</v>
      </c>
      <c r="D133" s="20" t="str">
        <f>VLOOKUP(C133,Справочники!$A:$B,2,FALSE)</f>
        <v>Смывка автоматическая</v>
      </c>
      <c r="E133" s="57" t="s">
        <v>338</v>
      </c>
      <c r="F133" s="87"/>
      <c r="G133" s="58" t="s">
        <v>340</v>
      </c>
    </row>
    <row r="134" spans="1:7" x14ac:dyDescent="0.2">
      <c r="A134" s="2" t="str">
        <f t="shared" si="6"/>
        <v>Ц_6Х_9</v>
      </c>
      <c r="B134" s="2" t="str">
        <f t="shared" si="8"/>
        <v>Ц_6</v>
      </c>
      <c r="C134" s="2" t="s">
        <v>240</v>
      </c>
      <c r="D134" s="20" t="str">
        <f>VLOOKUP(C134,Справочники!$A:$B,2,FALSE)</f>
        <v>Сиккатив для увлажняющего раствора</v>
      </c>
      <c r="E134" s="57" t="s">
        <v>338</v>
      </c>
      <c r="F134" s="87"/>
      <c r="G134" s="58" t="s">
        <v>340</v>
      </c>
    </row>
    <row r="135" spans="1:7" x14ac:dyDescent="0.2">
      <c r="A135" s="2" t="str">
        <f t="shared" si="6"/>
        <v>Ц_6Х_10</v>
      </c>
      <c r="B135" s="2" t="str">
        <f t="shared" si="8"/>
        <v>Ц_6</v>
      </c>
      <c r="C135" s="2" t="s">
        <v>241</v>
      </c>
      <c r="D135" s="20" t="str">
        <f>VLOOKUP(C135,Справочники!$A:$B,2,FALSE)</f>
        <v>Антисиккатив</v>
      </c>
      <c r="E135" s="57" t="s">
        <v>338</v>
      </c>
      <c r="F135" s="87"/>
      <c r="G135" s="58" t="s">
        <v>340</v>
      </c>
    </row>
    <row r="136" spans="1:7" x14ac:dyDescent="0.2">
      <c r="A136" s="2" t="str">
        <f t="shared" si="6"/>
        <v>Ц_6Х_11</v>
      </c>
      <c r="B136" s="2" t="str">
        <f t="shared" si="8"/>
        <v>Ц_6</v>
      </c>
      <c r="C136" s="2" t="s">
        <v>242</v>
      </c>
      <c r="D136" s="20" t="str">
        <f>VLOOKUP(C136,Справочники!$A:$B,2,FALSE)</f>
        <v>Антисиккатив-спрей</v>
      </c>
      <c r="E136" s="57" t="s">
        <v>338</v>
      </c>
      <c r="F136" s="87"/>
      <c r="G136" s="58" t="s">
        <v>340</v>
      </c>
    </row>
    <row r="137" spans="1:7" x14ac:dyDescent="0.2">
      <c r="A137" s="2" t="str">
        <f t="shared" si="6"/>
        <v>Ц_61.7</v>
      </c>
      <c r="B137" s="2" t="str">
        <f t="shared" si="8"/>
        <v>Ц_6</v>
      </c>
      <c r="C137" s="1" t="s">
        <v>169</v>
      </c>
      <c r="D137" s="20" t="str">
        <f>VLOOKUP(C137,Справочники!$A:$B,2,FALSE)</f>
        <v>Офсетная резина</v>
      </c>
      <c r="E137" s="57" t="s">
        <v>338</v>
      </c>
      <c r="F137" s="87"/>
      <c r="G137" s="58" t="s">
        <v>340</v>
      </c>
    </row>
    <row r="138" spans="1:7" x14ac:dyDescent="0.2">
      <c r="A138" s="2" t="str">
        <f t="shared" si="6"/>
        <v>Ц_61.10</v>
      </c>
      <c r="B138" s="2" t="str">
        <f t="shared" si="8"/>
        <v>Ц_6</v>
      </c>
      <c r="C138" s="1" t="s">
        <v>172</v>
      </c>
      <c r="D138" s="21" t="str">
        <f>VLOOKUP(C138,Справочники!$A:$B,2,FALSE)</f>
        <v>Заработная плата</v>
      </c>
      <c r="E138" s="57" t="s">
        <v>316</v>
      </c>
      <c r="F138" s="87"/>
      <c r="G138" s="58" t="s">
        <v>303</v>
      </c>
    </row>
    <row r="139" spans="1:7" s="53" customFormat="1" x14ac:dyDescent="0.2">
      <c r="A139" s="63" t="str">
        <f t="shared" si="6"/>
        <v>Ц_7</v>
      </c>
      <c r="B139" s="63" t="s">
        <v>196</v>
      </c>
      <c r="D139" s="64" t="s">
        <v>38</v>
      </c>
      <c r="E139" s="60"/>
      <c r="F139" s="59"/>
      <c r="G139" s="61"/>
    </row>
    <row r="140" spans="1:7" x14ac:dyDescent="0.2">
      <c r="A140" s="2" t="str">
        <f t="shared" si="6"/>
        <v>Ц_71.10</v>
      </c>
      <c r="B140" s="2" t="str">
        <f>B$139</f>
        <v>Ц_7</v>
      </c>
      <c r="C140" s="1" t="s">
        <v>172</v>
      </c>
      <c r="D140" s="21" t="str">
        <f>VLOOKUP(C140,Справочники!$A:$B,2,FALSE)</f>
        <v>Заработная плата</v>
      </c>
      <c r="E140" s="57" t="s">
        <v>316</v>
      </c>
      <c r="F140" s="87"/>
      <c r="G140" s="58" t="s">
        <v>303</v>
      </c>
    </row>
    <row r="141" spans="1:7" s="53" customFormat="1" x14ac:dyDescent="0.2">
      <c r="A141" s="63" t="str">
        <f t="shared" ref="A141:A204" si="9">CONCATENATE(B141,C141)</f>
        <v>Ц_8</v>
      </c>
      <c r="B141" s="63" t="s">
        <v>197</v>
      </c>
      <c r="D141" s="64" t="s">
        <v>40</v>
      </c>
      <c r="E141" s="60"/>
      <c r="F141" s="59"/>
      <c r="G141" s="61"/>
    </row>
    <row r="142" spans="1:7" x14ac:dyDescent="0.2">
      <c r="A142" s="2" t="str">
        <f t="shared" si="9"/>
        <v>Ц_81.10</v>
      </c>
      <c r="B142" s="2" t="str">
        <f>B$141</f>
        <v>Ц_8</v>
      </c>
      <c r="C142" s="1" t="s">
        <v>172</v>
      </c>
      <c r="D142" s="21" t="str">
        <f>VLOOKUP(C142,Справочники!$A:$B,2,FALSE)</f>
        <v>Заработная плата</v>
      </c>
      <c r="E142" s="57" t="s">
        <v>316</v>
      </c>
      <c r="F142" s="87"/>
      <c r="G142" s="58" t="s">
        <v>303</v>
      </c>
    </row>
    <row r="143" spans="1:7" s="53" customFormat="1" x14ac:dyDescent="0.2">
      <c r="A143" s="63" t="str">
        <f t="shared" si="9"/>
        <v>Ц_9</v>
      </c>
      <c r="B143" s="63" t="s">
        <v>198</v>
      </c>
      <c r="D143" s="64" t="s">
        <v>43</v>
      </c>
      <c r="E143" s="60"/>
      <c r="F143" s="59"/>
      <c r="G143" s="61"/>
    </row>
    <row r="144" spans="1:7" x14ac:dyDescent="0.2">
      <c r="A144" s="2" t="str">
        <f t="shared" si="9"/>
        <v>Ц_91.10</v>
      </c>
      <c r="B144" s="2" t="str">
        <f>B$143</f>
        <v>Ц_9</v>
      </c>
      <c r="C144" s="1" t="s">
        <v>172</v>
      </c>
      <c r="D144" s="21" t="str">
        <f>VLOOKUP(C144,Справочники!$A:$B,2,FALSE)</f>
        <v>Заработная плата</v>
      </c>
      <c r="E144" s="57" t="s">
        <v>316</v>
      </c>
      <c r="F144" s="87"/>
      <c r="G144" s="58" t="s">
        <v>303</v>
      </c>
    </row>
    <row r="145" spans="1:7" s="53" customFormat="1" x14ac:dyDescent="0.2">
      <c r="A145" s="63" t="str">
        <f t="shared" si="9"/>
        <v>Ц_10</v>
      </c>
      <c r="B145" s="63" t="s">
        <v>199</v>
      </c>
      <c r="D145" s="64" t="s">
        <v>44</v>
      </c>
      <c r="E145" s="60"/>
      <c r="F145" s="59"/>
      <c r="G145" s="61"/>
    </row>
    <row r="146" spans="1:7" x14ac:dyDescent="0.2">
      <c r="A146" s="2" t="str">
        <f t="shared" si="9"/>
        <v>Ц_101.10</v>
      </c>
      <c r="B146" s="2" t="str">
        <f>B$145</f>
        <v>Ц_10</v>
      </c>
      <c r="C146" s="1" t="s">
        <v>172</v>
      </c>
      <c r="D146" s="21" t="str">
        <f>VLOOKUP(C146,Справочники!$A:$B,2,FALSE)</f>
        <v>Заработная плата</v>
      </c>
      <c r="E146" s="57" t="s">
        <v>316</v>
      </c>
      <c r="F146" s="87"/>
      <c r="G146" s="58" t="s">
        <v>303</v>
      </c>
    </row>
    <row r="147" spans="1:7" s="53" customFormat="1" x14ac:dyDescent="0.2">
      <c r="A147" s="63" t="str">
        <f t="shared" si="9"/>
        <v>Ц_11</v>
      </c>
      <c r="B147" s="63" t="s">
        <v>200</v>
      </c>
      <c r="D147" s="64" t="s">
        <v>45</v>
      </c>
      <c r="E147" s="60"/>
      <c r="F147" s="59"/>
      <c r="G147" s="61"/>
    </row>
    <row r="148" spans="1:7" x14ac:dyDescent="0.2">
      <c r="A148" s="2" t="str">
        <f t="shared" si="9"/>
        <v>Ц_111.10</v>
      </c>
      <c r="B148" s="2" t="str">
        <f>B$147</f>
        <v>Ц_11</v>
      </c>
      <c r="C148" s="1" t="s">
        <v>172</v>
      </c>
      <c r="D148" s="21" t="str">
        <f>VLOOKUP(C148,Справочники!$A:$B,2,FALSE)</f>
        <v>Заработная плата</v>
      </c>
      <c r="E148" s="57" t="s">
        <v>316</v>
      </c>
      <c r="F148" s="87"/>
      <c r="G148" s="58" t="s">
        <v>303</v>
      </c>
    </row>
    <row r="149" spans="1:7" x14ac:dyDescent="0.2">
      <c r="A149" s="2" t="str">
        <f t="shared" si="9"/>
        <v>Ц_111.8</v>
      </c>
      <c r="B149" s="2" t="str">
        <f>B$147</f>
        <v>Ц_11</v>
      </c>
      <c r="C149" s="1" t="s">
        <v>170</v>
      </c>
      <c r="D149" s="21" t="str">
        <f>VLOOKUP(C149,Справочники!$A:$B,2,FALSE)</f>
        <v>Проволока для скрепления</v>
      </c>
      <c r="E149" s="69" t="s">
        <v>367</v>
      </c>
      <c r="F149" s="87">
        <v>0.05</v>
      </c>
      <c r="G149" s="58" t="s">
        <v>377</v>
      </c>
    </row>
    <row r="150" spans="1:7" x14ac:dyDescent="0.2">
      <c r="A150" s="18" t="str">
        <f t="shared" si="9"/>
        <v/>
      </c>
    </row>
    <row r="151" spans="1:7" x14ac:dyDescent="0.2">
      <c r="A151" s="18" t="str">
        <f t="shared" si="9"/>
        <v/>
      </c>
    </row>
    <row r="152" spans="1:7" x14ac:dyDescent="0.2">
      <c r="A152" s="18" t="str">
        <f t="shared" si="9"/>
        <v/>
      </c>
    </row>
    <row r="153" spans="1:7" x14ac:dyDescent="0.2">
      <c r="A153" s="18" t="str">
        <f t="shared" si="9"/>
        <v/>
      </c>
    </row>
    <row r="154" spans="1:7" x14ac:dyDescent="0.2">
      <c r="A154" s="18" t="str">
        <f t="shared" si="9"/>
        <v/>
      </c>
    </row>
    <row r="155" spans="1:7" x14ac:dyDescent="0.2">
      <c r="A155" s="18" t="str">
        <f t="shared" si="9"/>
        <v/>
      </c>
    </row>
    <row r="156" spans="1:7" x14ac:dyDescent="0.2">
      <c r="A156" s="18" t="str">
        <f t="shared" si="9"/>
        <v/>
      </c>
    </row>
    <row r="157" spans="1:7" x14ac:dyDescent="0.2">
      <c r="A157" s="18" t="str">
        <f t="shared" si="9"/>
        <v/>
      </c>
    </row>
    <row r="158" spans="1:7" x14ac:dyDescent="0.2">
      <c r="A158" s="18" t="str">
        <f t="shared" si="9"/>
        <v/>
      </c>
    </row>
    <row r="159" spans="1:7" x14ac:dyDescent="0.2">
      <c r="A159" s="18" t="str">
        <f t="shared" si="9"/>
        <v/>
      </c>
    </row>
    <row r="160" spans="1:7" x14ac:dyDescent="0.2">
      <c r="A160" s="18" t="str">
        <f t="shared" si="9"/>
        <v/>
      </c>
    </row>
    <row r="161" spans="1:1" x14ac:dyDescent="0.2">
      <c r="A161" s="18" t="str">
        <f t="shared" si="9"/>
        <v/>
      </c>
    </row>
    <row r="162" spans="1:1" x14ac:dyDescent="0.2">
      <c r="A162" s="18" t="str">
        <f t="shared" si="9"/>
        <v/>
      </c>
    </row>
    <row r="163" spans="1:1" x14ac:dyDescent="0.2">
      <c r="A163" s="18" t="str">
        <f t="shared" si="9"/>
        <v/>
      </c>
    </row>
    <row r="164" spans="1:1" x14ac:dyDescent="0.2">
      <c r="A164" s="18" t="str">
        <f t="shared" si="9"/>
        <v/>
      </c>
    </row>
    <row r="165" spans="1:1" x14ac:dyDescent="0.2">
      <c r="A165" s="18" t="str">
        <f t="shared" si="9"/>
        <v/>
      </c>
    </row>
    <row r="166" spans="1:1" x14ac:dyDescent="0.2">
      <c r="A166" s="18" t="str">
        <f t="shared" si="9"/>
        <v/>
      </c>
    </row>
    <row r="167" spans="1:1" x14ac:dyDescent="0.2">
      <c r="A167" s="18" t="str">
        <f t="shared" si="9"/>
        <v/>
      </c>
    </row>
    <row r="168" spans="1:1" x14ac:dyDescent="0.2">
      <c r="A168" s="18" t="str">
        <f t="shared" si="9"/>
        <v/>
      </c>
    </row>
    <row r="169" spans="1:1" x14ac:dyDescent="0.2">
      <c r="A169" s="18" t="str">
        <f t="shared" si="9"/>
        <v/>
      </c>
    </row>
    <row r="170" spans="1:1" x14ac:dyDescent="0.2">
      <c r="A170" s="18" t="str">
        <f t="shared" si="9"/>
        <v/>
      </c>
    </row>
    <row r="171" spans="1:1" x14ac:dyDescent="0.2">
      <c r="A171" s="18" t="str">
        <f t="shared" si="9"/>
        <v/>
      </c>
    </row>
    <row r="172" spans="1:1" x14ac:dyDescent="0.2">
      <c r="A172" s="18" t="str">
        <f t="shared" si="9"/>
        <v/>
      </c>
    </row>
    <row r="173" spans="1:1" x14ac:dyDescent="0.2">
      <c r="A173" s="18" t="str">
        <f t="shared" si="9"/>
        <v/>
      </c>
    </row>
    <row r="174" spans="1:1" x14ac:dyDescent="0.2">
      <c r="A174" s="18" t="str">
        <f t="shared" si="9"/>
        <v/>
      </c>
    </row>
    <row r="175" spans="1:1" x14ac:dyDescent="0.2">
      <c r="A175" s="18" t="str">
        <f t="shared" si="9"/>
        <v/>
      </c>
    </row>
    <row r="176" spans="1:1" x14ac:dyDescent="0.2">
      <c r="A176" s="18" t="str">
        <f t="shared" si="9"/>
        <v/>
      </c>
    </row>
    <row r="177" spans="1:1" x14ac:dyDescent="0.2">
      <c r="A177" s="18" t="str">
        <f t="shared" si="9"/>
        <v/>
      </c>
    </row>
    <row r="178" spans="1:1" x14ac:dyDescent="0.2">
      <c r="A178" s="18" t="str">
        <f t="shared" si="9"/>
        <v/>
      </c>
    </row>
    <row r="179" spans="1:1" x14ac:dyDescent="0.2">
      <c r="A179" s="18" t="str">
        <f t="shared" si="9"/>
        <v/>
      </c>
    </row>
    <row r="180" spans="1:1" x14ac:dyDescent="0.2">
      <c r="A180" s="18" t="str">
        <f t="shared" si="9"/>
        <v/>
      </c>
    </row>
    <row r="181" spans="1:1" x14ac:dyDescent="0.2">
      <c r="A181" s="18" t="str">
        <f t="shared" si="9"/>
        <v/>
      </c>
    </row>
    <row r="182" spans="1:1" x14ac:dyDescent="0.2">
      <c r="A182" s="18" t="str">
        <f t="shared" si="9"/>
        <v/>
      </c>
    </row>
    <row r="183" spans="1:1" x14ac:dyDescent="0.2">
      <c r="A183" s="18" t="str">
        <f t="shared" si="9"/>
        <v/>
      </c>
    </row>
    <row r="184" spans="1:1" x14ac:dyDescent="0.2">
      <c r="A184" s="18" t="str">
        <f t="shared" si="9"/>
        <v/>
      </c>
    </row>
    <row r="185" spans="1:1" x14ac:dyDescent="0.2">
      <c r="A185" s="18" t="str">
        <f t="shared" si="9"/>
        <v/>
      </c>
    </row>
    <row r="186" spans="1:1" x14ac:dyDescent="0.2">
      <c r="A186" s="18" t="str">
        <f t="shared" si="9"/>
        <v/>
      </c>
    </row>
    <row r="187" spans="1:1" x14ac:dyDescent="0.2">
      <c r="A187" s="18" t="str">
        <f t="shared" si="9"/>
        <v/>
      </c>
    </row>
    <row r="188" spans="1:1" x14ac:dyDescent="0.2">
      <c r="A188" s="18" t="str">
        <f t="shared" si="9"/>
        <v/>
      </c>
    </row>
    <row r="189" spans="1:1" x14ac:dyDescent="0.2">
      <c r="A189" s="18" t="str">
        <f t="shared" si="9"/>
        <v/>
      </c>
    </row>
    <row r="190" spans="1:1" x14ac:dyDescent="0.2">
      <c r="A190" s="18" t="str">
        <f t="shared" si="9"/>
        <v/>
      </c>
    </row>
    <row r="191" spans="1:1" x14ac:dyDescent="0.2">
      <c r="A191" s="18" t="str">
        <f t="shared" si="9"/>
        <v/>
      </c>
    </row>
    <row r="192" spans="1:1" x14ac:dyDescent="0.2">
      <c r="A192" s="18" t="str">
        <f t="shared" si="9"/>
        <v/>
      </c>
    </row>
    <row r="193" spans="1:1" x14ac:dyDescent="0.2">
      <c r="A193" s="18" t="str">
        <f t="shared" si="9"/>
        <v/>
      </c>
    </row>
    <row r="194" spans="1:1" x14ac:dyDescent="0.2">
      <c r="A194" s="18" t="str">
        <f t="shared" si="9"/>
        <v/>
      </c>
    </row>
    <row r="195" spans="1:1" x14ac:dyDescent="0.2">
      <c r="A195" s="18" t="str">
        <f t="shared" si="9"/>
        <v/>
      </c>
    </row>
    <row r="196" spans="1:1" x14ac:dyDescent="0.2">
      <c r="A196" s="18" t="str">
        <f t="shared" si="9"/>
        <v/>
      </c>
    </row>
    <row r="197" spans="1:1" x14ac:dyDescent="0.2">
      <c r="A197" s="18" t="str">
        <f t="shared" si="9"/>
        <v/>
      </c>
    </row>
    <row r="198" spans="1:1" x14ac:dyDescent="0.2">
      <c r="A198" s="18" t="str">
        <f t="shared" si="9"/>
        <v/>
      </c>
    </row>
    <row r="199" spans="1:1" x14ac:dyDescent="0.2">
      <c r="A199" s="18" t="str">
        <f t="shared" si="9"/>
        <v/>
      </c>
    </row>
    <row r="200" spans="1:1" x14ac:dyDescent="0.2">
      <c r="A200" s="18" t="str">
        <f t="shared" si="9"/>
        <v/>
      </c>
    </row>
    <row r="201" spans="1:1" x14ac:dyDescent="0.2">
      <c r="A201" s="18" t="str">
        <f t="shared" si="9"/>
        <v/>
      </c>
    </row>
    <row r="202" spans="1:1" x14ac:dyDescent="0.2">
      <c r="A202" s="18" t="str">
        <f t="shared" si="9"/>
        <v/>
      </c>
    </row>
    <row r="203" spans="1:1" x14ac:dyDescent="0.2">
      <c r="A203" s="18" t="str">
        <f t="shared" si="9"/>
        <v/>
      </c>
    </row>
    <row r="204" spans="1:1" x14ac:dyDescent="0.2">
      <c r="A204" s="18" t="str">
        <f t="shared" si="9"/>
        <v/>
      </c>
    </row>
    <row r="205" spans="1:1" x14ac:dyDescent="0.2">
      <c r="A205" s="18" t="str">
        <f t="shared" ref="A205:A268" si="10">CONCATENATE(B205,C205)</f>
        <v/>
      </c>
    </row>
    <row r="206" spans="1:1" x14ac:dyDescent="0.2">
      <c r="A206" s="18" t="str">
        <f t="shared" si="10"/>
        <v/>
      </c>
    </row>
    <row r="207" spans="1:1" x14ac:dyDescent="0.2">
      <c r="A207" s="18" t="str">
        <f t="shared" si="10"/>
        <v/>
      </c>
    </row>
    <row r="208" spans="1:1" x14ac:dyDescent="0.2">
      <c r="A208" s="18" t="str">
        <f t="shared" si="10"/>
        <v/>
      </c>
    </row>
    <row r="209" spans="1:1" x14ac:dyDescent="0.2">
      <c r="A209" s="18" t="str">
        <f t="shared" si="10"/>
        <v/>
      </c>
    </row>
    <row r="210" spans="1:1" x14ac:dyDescent="0.2">
      <c r="A210" s="18" t="str">
        <f t="shared" si="10"/>
        <v/>
      </c>
    </row>
    <row r="211" spans="1:1" x14ac:dyDescent="0.2">
      <c r="A211" s="18" t="str">
        <f t="shared" si="10"/>
        <v/>
      </c>
    </row>
    <row r="212" spans="1:1" x14ac:dyDescent="0.2">
      <c r="A212" s="18" t="str">
        <f t="shared" si="10"/>
        <v/>
      </c>
    </row>
    <row r="213" spans="1:1" x14ac:dyDescent="0.2">
      <c r="A213" s="18" t="str">
        <f t="shared" si="10"/>
        <v/>
      </c>
    </row>
    <row r="214" spans="1:1" x14ac:dyDescent="0.2">
      <c r="A214" s="18" t="str">
        <f t="shared" si="10"/>
        <v/>
      </c>
    </row>
    <row r="215" spans="1:1" x14ac:dyDescent="0.2">
      <c r="A215" s="18" t="str">
        <f t="shared" si="10"/>
        <v/>
      </c>
    </row>
    <row r="216" spans="1:1" x14ac:dyDescent="0.2">
      <c r="A216" s="18" t="str">
        <f t="shared" si="10"/>
        <v/>
      </c>
    </row>
    <row r="217" spans="1:1" x14ac:dyDescent="0.2">
      <c r="A217" s="18" t="str">
        <f t="shared" si="10"/>
        <v/>
      </c>
    </row>
    <row r="218" spans="1:1" x14ac:dyDescent="0.2">
      <c r="A218" s="18" t="str">
        <f t="shared" si="10"/>
        <v/>
      </c>
    </row>
    <row r="219" spans="1:1" x14ac:dyDescent="0.2">
      <c r="A219" s="18" t="str">
        <f t="shared" si="10"/>
        <v/>
      </c>
    </row>
    <row r="220" spans="1:1" x14ac:dyDescent="0.2">
      <c r="A220" s="18" t="str">
        <f t="shared" si="10"/>
        <v/>
      </c>
    </row>
    <row r="221" spans="1:1" x14ac:dyDescent="0.2">
      <c r="A221" s="18" t="str">
        <f t="shared" si="10"/>
        <v/>
      </c>
    </row>
    <row r="222" spans="1:1" x14ac:dyDescent="0.2">
      <c r="A222" s="18" t="str">
        <f t="shared" si="10"/>
        <v/>
      </c>
    </row>
    <row r="223" spans="1:1" x14ac:dyDescent="0.2">
      <c r="A223" s="18" t="str">
        <f t="shared" si="10"/>
        <v/>
      </c>
    </row>
    <row r="224" spans="1:1" x14ac:dyDescent="0.2">
      <c r="A224" s="18" t="str">
        <f t="shared" si="10"/>
        <v/>
      </c>
    </row>
    <row r="225" spans="1:1" x14ac:dyDescent="0.2">
      <c r="A225" s="18" t="str">
        <f t="shared" si="10"/>
        <v/>
      </c>
    </row>
    <row r="226" spans="1:1" x14ac:dyDescent="0.2">
      <c r="A226" s="18" t="str">
        <f t="shared" si="10"/>
        <v/>
      </c>
    </row>
    <row r="227" spans="1:1" x14ac:dyDescent="0.2">
      <c r="A227" s="18" t="str">
        <f t="shared" si="10"/>
        <v/>
      </c>
    </row>
    <row r="228" spans="1:1" x14ac:dyDescent="0.2">
      <c r="A228" s="18" t="str">
        <f t="shared" si="10"/>
        <v/>
      </c>
    </row>
    <row r="229" spans="1:1" x14ac:dyDescent="0.2">
      <c r="A229" s="18" t="str">
        <f t="shared" si="10"/>
        <v/>
      </c>
    </row>
    <row r="230" spans="1:1" x14ac:dyDescent="0.2">
      <c r="A230" s="18" t="str">
        <f t="shared" si="10"/>
        <v/>
      </c>
    </row>
    <row r="231" spans="1:1" x14ac:dyDescent="0.2">
      <c r="A231" s="18" t="str">
        <f t="shared" si="10"/>
        <v/>
      </c>
    </row>
    <row r="232" spans="1:1" x14ac:dyDescent="0.2">
      <c r="A232" s="18" t="str">
        <f t="shared" si="10"/>
        <v/>
      </c>
    </row>
    <row r="233" spans="1:1" x14ac:dyDescent="0.2">
      <c r="A233" s="18" t="str">
        <f t="shared" si="10"/>
        <v/>
      </c>
    </row>
    <row r="234" spans="1:1" x14ac:dyDescent="0.2">
      <c r="A234" s="18" t="str">
        <f t="shared" si="10"/>
        <v/>
      </c>
    </row>
    <row r="235" spans="1:1" x14ac:dyDescent="0.2">
      <c r="A235" s="18" t="str">
        <f t="shared" si="10"/>
        <v/>
      </c>
    </row>
    <row r="236" spans="1:1" x14ac:dyDescent="0.2">
      <c r="A236" s="18" t="str">
        <f t="shared" si="10"/>
        <v/>
      </c>
    </row>
    <row r="237" spans="1:1" x14ac:dyDescent="0.2">
      <c r="A237" s="18" t="str">
        <f t="shared" si="10"/>
        <v/>
      </c>
    </row>
    <row r="238" spans="1:1" x14ac:dyDescent="0.2">
      <c r="A238" s="18" t="str">
        <f t="shared" si="10"/>
        <v/>
      </c>
    </row>
    <row r="239" spans="1:1" x14ac:dyDescent="0.2">
      <c r="A239" s="18" t="str">
        <f t="shared" si="10"/>
        <v/>
      </c>
    </row>
    <row r="240" spans="1:1" x14ac:dyDescent="0.2">
      <c r="A240" s="18" t="str">
        <f t="shared" si="10"/>
        <v/>
      </c>
    </row>
    <row r="241" spans="1:1" x14ac:dyDescent="0.2">
      <c r="A241" s="18" t="str">
        <f t="shared" si="10"/>
        <v/>
      </c>
    </row>
    <row r="242" spans="1:1" x14ac:dyDescent="0.2">
      <c r="A242" s="18" t="str">
        <f t="shared" si="10"/>
        <v/>
      </c>
    </row>
    <row r="243" spans="1:1" x14ac:dyDescent="0.2">
      <c r="A243" s="18" t="str">
        <f t="shared" si="10"/>
        <v/>
      </c>
    </row>
    <row r="244" spans="1:1" x14ac:dyDescent="0.2">
      <c r="A244" s="18" t="str">
        <f t="shared" si="10"/>
        <v/>
      </c>
    </row>
    <row r="245" spans="1:1" x14ac:dyDescent="0.2">
      <c r="A245" s="18" t="str">
        <f t="shared" si="10"/>
        <v/>
      </c>
    </row>
    <row r="246" spans="1:1" x14ac:dyDescent="0.2">
      <c r="A246" s="18" t="str">
        <f t="shared" si="10"/>
        <v/>
      </c>
    </row>
    <row r="247" spans="1:1" x14ac:dyDescent="0.2">
      <c r="A247" s="18" t="str">
        <f t="shared" si="10"/>
        <v/>
      </c>
    </row>
    <row r="248" spans="1:1" x14ac:dyDescent="0.2">
      <c r="A248" s="18" t="str">
        <f t="shared" si="10"/>
        <v/>
      </c>
    </row>
    <row r="249" spans="1:1" x14ac:dyDescent="0.2">
      <c r="A249" s="18" t="str">
        <f t="shared" si="10"/>
        <v/>
      </c>
    </row>
    <row r="250" spans="1:1" x14ac:dyDescent="0.2">
      <c r="A250" s="18" t="str">
        <f t="shared" si="10"/>
        <v/>
      </c>
    </row>
    <row r="251" spans="1:1" x14ac:dyDescent="0.2">
      <c r="A251" s="18" t="str">
        <f t="shared" si="10"/>
        <v/>
      </c>
    </row>
    <row r="252" spans="1:1" x14ac:dyDescent="0.2">
      <c r="A252" s="18" t="str">
        <f t="shared" si="10"/>
        <v/>
      </c>
    </row>
    <row r="253" spans="1:1" x14ac:dyDescent="0.2">
      <c r="A253" s="18" t="str">
        <f t="shared" si="10"/>
        <v/>
      </c>
    </row>
    <row r="254" spans="1:1" x14ac:dyDescent="0.2">
      <c r="A254" s="18" t="str">
        <f t="shared" si="10"/>
        <v/>
      </c>
    </row>
    <row r="255" spans="1:1" x14ac:dyDescent="0.2">
      <c r="A255" s="18" t="str">
        <f t="shared" si="10"/>
        <v/>
      </c>
    </row>
    <row r="256" spans="1:1" x14ac:dyDescent="0.2">
      <c r="A256" s="18" t="str">
        <f t="shared" si="10"/>
        <v/>
      </c>
    </row>
    <row r="257" spans="1:1" x14ac:dyDescent="0.2">
      <c r="A257" s="18" t="str">
        <f t="shared" si="10"/>
        <v/>
      </c>
    </row>
    <row r="258" spans="1:1" x14ac:dyDescent="0.2">
      <c r="A258" s="18" t="str">
        <f t="shared" si="10"/>
        <v/>
      </c>
    </row>
    <row r="259" spans="1:1" x14ac:dyDescent="0.2">
      <c r="A259" s="18" t="str">
        <f t="shared" si="10"/>
        <v/>
      </c>
    </row>
    <row r="260" spans="1:1" x14ac:dyDescent="0.2">
      <c r="A260" s="18" t="str">
        <f t="shared" si="10"/>
        <v/>
      </c>
    </row>
    <row r="261" spans="1:1" x14ac:dyDescent="0.2">
      <c r="A261" s="18" t="str">
        <f t="shared" si="10"/>
        <v/>
      </c>
    </row>
    <row r="262" spans="1:1" x14ac:dyDescent="0.2">
      <c r="A262" s="18" t="str">
        <f t="shared" si="10"/>
        <v/>
      </c>
    </row>
    <row r="263" spans="1:1" x14ac:dyDescent="0.2">
      <c r="A263" s="18" t="str">
        <f t="shared" si="10"/>
        <v/>
      </c>
    </row>
    <row r="264" spans="1:1" x14ac:dyDescent="0.2">
      <c r="A264" s="18" t="str">
        <f t="shared" si="10"/>
        <v/>
      </c>
    </row>
    <row r="265" spans="1:1" x14ac:dyDescent="0.2">
      <c r="A265" s="18" t="str">
        <f t="shared" si="10"/>
        <v/>
      </c>
    </row>
    <row r="266" spans="1:1" x14ac:dyDescent="0.2">
      <c r="A266" s="18" t="str">
        <f t="shared" si="10"/>
        <v/>
      </c>
    </row>
    <row r="267" spans="1:1" x14ac:dyDescent="0.2">
      <c r="A267" s="18" t="str">
        <f t="shared" si="10"/>
        <v/>
      </c>
    </row>
    <row r="268" spans="1:1" x14ac:dyDescent="0.2">
      <c r="A268" s="18" t="str">
        <f t="shared" si="10"/>
        <v/>
      </c>
    </row>
    <row r="269" spans="1:1" x14ac:dyDescent="0.2">
      <c r="A269" s="18" t="str">
        <f t="shared" ref="A269:A310" si="11">CONCATENATE(B269,C269)</f>
        <v/>
      </c>
    </row>
    <row r="270" spans="1:1" x14ac:dyDescent="0.2">
      <c r="A270" s="18" t="str">
        <f t="shared" si="11"/>
        <v/>
      </c>
    </row>
    <row r="271" spans="1:1" x14ac:dyDescent="0.2">
      <c r="A271" s="18" t="str">
        <f t="shared" si="11"/>
        <v/>
      </c>
    </row>
    <row r="272" spans="1:1" x14ac:dyDescent="0.2">
      <c r="A272" s="18" t="str">
        <f t="shared" si="11"/>
        <v/>
      </c>
    </row>
    <row r="273" spans="1:1" x14ac:dyDescent="0.2">
      <c r="A273" s="18" t="str">
        <f t="shared" si="11"/>
        <v/>
      </c>
    </row>
    <row r="274" spans="1:1" x14ac:dyDescent="0.2">
      <c r="A274" s="18" t="str">
        <f t="shared" si="11"/>
        <v/>
      </c>
    </row>
    <row r="275" spans="1:1" x14ac:dyDescent="0.2">
      <c r="A275" s="18" t="str">
        <f t="shared" si="11"/>
        <v/>
      </c>
    </row>
    <row r="276" spans="1:1" x14ac:dyDescent="0.2">
      <c r="A276" s="18" t="str">
        <f t="shared" si="11"/>
        <v/>
      </c>
    </row>
    <row r="277" spans="1:1" x14ac:dyDescent="0.2">
      <c r="A277" s="18" t="str">
        <f t="shared" si="11"/>
        <v/>
      </c>
    </row>
    <row r="278" spans="1:1" x14ac:dyDescent="0.2">
      <c r="A278" s="18" t="str">
        <f t="shared" si="11"/>
        <v/>
      </c>
    </row>
    <row r="279" spans="1:1" x14ac:dyDescent="0.2">
      <c r="A279" s="18" t="str">
        <f t="shared" si="11"/>
        <v/>
      </c>
    </row>
    <row r="280" spans="1:1" x14ac:dyDescent="0.2">
      <c r="A280" s="18" t="str">
        <f t="shared" si="11"/>
        <v/>
      </c>
    </row>
    <row r="281" spans="1:1" x14ac:dyDescent="0.2">
      <c r="A281" s="18" t="str">
        <f t="shared" si="11"/>
        <v/>
      </c>
    </row>
    <row r="282" spans="1:1" x14ac:dyDescent="0.2">
      <c r="A282" s="18" t="str">
        <f t="shared" si="11"/>
        <v/>
      </c>
    </row>
    <row r="283" spans="1:1" x14ac:dyDescent="0.2">
      <c r="A283" s="18" t="str">
        <f t="shared" si="11"/>
        <v/>
      </c>
    </row>
    <row r="284" spans="1:1" x14ac:dyDescent="0.2">
      <c r="A284" s="18" t="str">
        <f t="shared" si="11"/>
        <v/>
      </c>
    </row>
    <row r="285" spans="1:1" x14ac:dyDescent="0.2">
      <c r="A285" s="18" t="str">
        <f t="shared" si="11"/>
        <v/>
      </c>
    </row>
    <row r="286" spans="1:1" x14ac:dyDescent="0.2">
      <c r="A286" s="18" t="str">
        <f t="shared" si="11"/>
        <v/>
      </c>
    </row>
    <row r="287" spans="1:1" x14ac:dyDescent="0.2">
      <c r="A287" s="18" t="str">
        <f t="shared" si="11"/>
        <v/>
      </c>
    </row>
    <row r="288" spans="1:1" x14ac:dyDescent="0.2">
      <c r="A288" s="18" t="str">
        <f t="shared" si="11"/>
        <v/>
      </c>
    </row>
    <row r="289" spans="1:1" x14ac:dyDescent="0.2">
      <c r="A289" s="18" t="str">
        <f t="shared" si="11"/>
        <v/>
      </c>
    </row>
    <row r="290" spans="1:1" x14ac:dyDescent="0.2">
      <c r="A290" s="18" t="str">
        <f t="shared" si="11"/>
        <v/>
      </c>
    </row>
    <row r="291" spans="1:1" x14ac:dyDescent="0.2">
      <c r="A291" s="18" t="str">
        <f t="shared" si="11"/>
        <v/>
      </c>
    </row>
    <row r="292" spans="1:1" x14ac:dyDescent="0.2">
      <c r="A292" s="18" t="str">
        <f t="shared" si="11"/>
        <v/>
      </c>
    </row>
    <row r="293" spans="1:1" x14ac:dyDescent="0.2">
      <c r="A293" s="18" t="str">
        <f t="shared" si="11"/>
        <v/>
      </c>
    </row>
    <row r="294" spans="1:1" x14ac:dyDescent="0.2">
      <c r="A294" s="18" t="str">
        <f t="shared" si="11"/>
        <v/>
      </c>
    </row>
    <row r="295" spans="1:1" x14ac:dyDescent="0.2">
      <c r="A295" s="18" t="str">
        <f t="shared" si="11"/>
        <v/>
      </c>
    </row>
    <row r="296" spans="1:1" x14ac:dyDescent="0.2">
      <c r="A296" s="18" t="str">
        <f t="shared" si="11"/>
        <v/>
      </c>
    </row>
    <row r="297" spans="1:1" x14ac:dyDescent="0.2">
      <c r="A297" s="18" t="str">
        <f t="shared" si="11"/>
        <v/>
      </c>
    </row>
    <row r="298" spans="1:1" x14ac:dyDescent="0.2">
      <c r="A298" s="18" t="str">
        <f t="shared" si="11"/>
        <v/>
      </c>
    </row>
    <row r="299" spans="1:1" x14ac:dyDescent="0.2">
      <c r="A299" s="18" t="str">
        <f t="shared" si="11"/>
        <v/>
      </c>
    </row>
    <row r="300" spans="1:1" x14ac:dyDescent="0.2">
      <c r="A300" s="18" t="str">
        <f t="shared" si="11"/>
        <v/>
      </c>
    </row>
    <row r="301" spans="1:1" x14ac:dyDescent="0.2">
      <c r="A301" s="18" t="str">
        <f t="shared" si="11"/>
        <v/>
      </c>
    </row>
    <row r="302" spans="1:1" x14ac:dyDescent="0.2">
      <c r="A302" s="18" t="str">
        <f t="shared" si="11"/>
        <v/>
      </c>
    </row>
    <row r="303" spans="1:1" x14ac:dyDescent="0.2">
      <c r="A303" s="18" t="str">
        <f t="shared" si="11"/>
        <v/>
      </c>
    </row>
    <row r="304" spans="1:1" x14ac:dyDescent="0.2">
      <c r="A304" s="18" t="str">
        <f t="shared" si="11"/>
        <v/>
      </c>
    </row>
    <row r="305" spans="1:1" x14ac:dyDescent="0.2">
      <c r="A305" s="18" t="str">
        <f t="shared" si="11"/>
        <v/>
      </c>
    </row>
    <row r="306" spans="1:1" x14ac:dyDescent="0.2">
      <c r="A306" s="18" t="str">
        <f t="shared" si="11"/>
        <v/>
      </c>
    </row>
    <row r="307" spans="1:1" x14ac:dyDescent="0.2">
      <c r="A307" s="18" t="str">
        <f t="shared" si="11"/>
        <v/>
      </c>
    </row>
    <row r="308" spans="1:1" x14ac:dyDescent="0.2">
      <c r="A308" s="18" t="str">
        <f t="shared" si="11"/>
        <v/>
      </c>
    </row>
    <row r="309" spans="1:1" x14ac:dyDescent="0.2">
      <c r="A309" s="18" t="str">
        <f t="shared" si="11"/>
        <v/>
      </c>
    </row>
    <row r="310" spans="1:1" x14ac:dyDescent="0.2">
      <c r="A310" s="18" t="str">
        <f t="shared" si="11"/>
        <v/>
      </c>
    </row>
  </sheetData>
  <phoneticPr fontId="1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4"/>
  <sheetViews>
    <sheetView workbookViewId="0">
      <pane ySplit="1" topLeftCell="A2" activePane="bottomLeft" state="frozen"/>
      <selection pane="bottomLeft" activeCell="D20" sqref="D20"/>
    </sheetView>
  </sheetViews>
  <sheetFormatPr defaultRowHeight="12.75" x14ac:dyDescent="0.2"/>
  <cols>
    <col min="1" max="1" width="8.7109375" style="45" customWidth="1"/>
    <col min="2" max="2" width="62.85546875" style="45" customWidth="1"/>
    <col min="3" max="3" width="11.28515625" style="45" customWidth="1"/>
    <col min="4" max="4" width="11" style="45" customWidth="1"/>
    <col min="5" max="5" width="6.28515625" style="18" customWidth="1"/>
    <col min="6" max="6" width="6.7109375" style="18" customWidth="1"/>
    <col min="7" max="8" width="6.28515625" style="18" customWidth="1"/>
    <col min="9" max="10" width="7" style="18" customWidth="1"/>
    <col min="11" max="11" width="9.7109375" style="18" customWidth="1"/>
    <col min="12" max="40" width="6.28515625" style="18" customWidth="1"/>
    <col min="41" max="16384" width="9.140625" style="18"/>
  </cols>
  <sheetData>
    <row r="1" spans="1:4" x14ac:dyDescent="0.2">
      <c r="A1" s="15" t="s">
        <v>72</v>
      </c>
      <c r="B1" s="16" t="s">
        <v>74</v>
      </c>
      <c r="C1" s="16" t="s">
        <v>277</v>
      </c>
      <c r="D1" s="16" t="s">
        <v>73</v>
      </c>
    </row>
    <row r="2" spans="1:4" x14ac:dyDescent="0.2">
      <c r="A2" s="15"/>
      <c r="B2" s="16"/>
      <c r="C2" s="210"/>
    </row>
    <row r="3" spans="1:4" s="53" customFormat="1" ht="14.25" x14ac:dyDescent="0.2">
      <c r="A3" s="47"/>
      <c r="B3" s="48" t="s">
        <v>275</v>
      </c>
      <c r="C3" s="211"/>
      <c r="D3" s="212"/>
    </row>
    <row r="4" spans="1:4" x14ac:dyDescent="0.2">
      <c r="A4" s="2" t="s">
        <v>205</v>
      </c>
      <c r="B4" s="13" t="str">
        <f>VLOOKUP(A4,Справочники!$A:$B,2,FALSE)</f>
        <v>Термальные пластины</v>
      </c>
      <c r="C4" s="213" t="s">
        <v>287</v>
      </c>
      <c r="D4" s="242">
        <v>10</v>
      </c>
    </row>
    <row r="5" spans="1:4" x14ac:dyDescent="0.2">
      <c r="A5" s="2" t="s">
        <v>206</v>
      </c>
      <c r="B5" s="13" t="str">
        <f>VLOOKUP(A5,Справочники!$A:$B,2,FALSE)</f>
        <v>Обычные пластины</v>
      </c>
      <c r="C5" s="213" t="s">
        <v>287</v>
      </c>
      <c r="D5" s="242">
        <v>8</v>
      </c>
    </row>
    <row r="6" spans="1:4" s="39" customFormat="1" ht="13.5" thickBot="1" x14ac:dyDescent="0.25">
      <c r="A6" s="37" t="s">
        <v>79</v>
      </c>
      <c r="B6" s="38" t="s">
        <v>80</v>
      </c>
      <c r="C6" s="65"/>
      <c r="D6" s="65"/>
    </row>
    <row r="7" spans="1:4" s="35" customFormat="1" x14ac:dyDescent="0.2">
      <c r="A7" s="40"/>
      <c r="B7" s="40"/>
      <c r="C7" s="210"/>
      <c r="D7" s="210"/>
    </row>
    <row r="8" spans="1:4" s="35" customFormat="1" x14ac:dyDescent="0.2">
      <c r="A8" s="40"/>
      <c r="B8" s="40"/>
      <c r="C8" s="210"/>
      <c r="D8" s="210"/>
    </row>
    <row r="9" spans="1:4" s="54" customFormat="1" ht="14.25" x14ac:dyDescent="0.2">
      <c r="A9" s="55"/>
      <c r="B9" s="48" t="s">
        <v>276</v>
      </c>
      <c r="C9" s="211"/>
      <c r="D9" s="211"/>
    </row>
    <row r="10" spans="1:4" x14ac:dyDescent="0.2">
      <c r="A10" s="40" t="s">
        <v>211</v>
      </c>
      <c r="B10" s="13" t="str">
        <f>VLOOKUP(A10,Справочники!$A:$B,2,FALSE)</f>
        <v>Бумага мелованная глянцевая / плотность 120</v>
      </c>
      <c r="C10" s="213" t="s">
        <v>288</v>
      </c>
      <c r="D10" s="242">
        <v>5</v>
      </c>
    </row>
    <row r="11" spans="1:4" x14ac:dyDescent="0.2">
      <c r="A11" s="40" t="s">
        <v>212</v>
      </c>
      <c r="B11" s="13" t="str">
        <f>VLOOKUP(A11,Справочники!$A:$B,2,FALSE)</f>
        <v>Бумага мелованная глянцевая / плотность 150</v>
      </c>
      <c r="C11" s="213" t="s">
        <v>288</v>
      </c>
      <c r="D11" s="242">
        <v>5</v>
      </c>
    </row>
    <row r="12" spans="1:4" x14ac:dyDescent="0.2">
      <c r="A12" s="40" t="s">
        <v>213</v>
      </c>
      <c r="B12" s="13" t="str">
        <f>VLOOKUP(A12,Справочники!$A:$B,2,FALSE)</f>
        <v>Бумага мелованная матовая / плотность 080</v>
      </c>
      <c r="C12" s="213" t="s">
        <v>288</v>
      </c>
      <c r="D12" s="242">
        <v>5</v>
      </c>
    </row>
    <row r="13" spans="1:4" x14ac:dyDescent="0.2">
      <c r="A13" s="40" t="s">
        <v>214</v>
      </c>
      <c r="B13" s="13" t="str">
        <f>VLOOKUP(A13,Справочники!$A:$B,2,FALSE)</f>
        <v>Бумага мелованная матовая / плотность 150</v>
      </c>
      <c r="C13" s="213" t="s">
        <v>288</v>
      </c>
      <c r="D13" s="242">
        <v>5</v>
      </c>
    </row>
    <row r="14" spans="1:4" x14ac:dyDescent="0.2">
      <c r="A14" s="40" t="s">
        <v>216</v>
      </c>
      <c r="B14" s="13" t="str">
        <f>VLOOKUP(A14,Справочники!$A:$B,2,FALSE)</f>
        <v>Бумага офсетная / плотность 120</v>
      </c>
      <c r="C14" s="213" t="s">
        <v>288</v>
      </c>
      <c r="D14" s="242">
        <v>5</v>
      </c>
    </row>
    <row r="15" spans="1:4" x14ac:dyDescent="0.2">
      <c r="A15" s="40" t="s">
        <v>217</v>
      </c>
      <c r="B15" s="13" t="str">
        <f>VLOOKUP(A15,Справочники!$A:$B,2,FALSE)</f>
        <v>Бумага офсетная / плотность 150</v>
      </c>
      <c r="C15" s="213" t="s">
        <v>288</v>
      </c>
      <c r="D15" s="242">
        <v>5</v>
      </c>
    </row>
    <row r="16" spans="1:4" s="39" customFormat="1" ht="13.5" thickBot="1" x14ac:dyDescent="0.25">
      <c r="A16" s="37" t="s">
        <v>79</v>
      </c>
      <c r="B16" s="38" t="s">
        <v>80</v>
      </c>
      <c r="C16" s="65"/>
      <c r="D16" s="65"/>
    </row>
    <row r="17" spans="1:40" s="35" customFormat="1" x14ac:dyDescent="0.2">
      <c r="A17" s="40"/>
      <c r="B17" s="40"/>
      <c r="C17" s="210"/>
      <c r="D17" s="210"/>
    </row>
    <row r="18" spans="1:40" x14ac:dyDescent="0.2">
      <c r="A18" s="43"/>
      <c r="B18" s="43"/>
    </row>
    <row r="19" spans="1:40" s="53" customFormat="1" ht="14.25" x14ac:dyDescent="0.2">
      <c r="A19" s="56"/>
      <c r="B19" s="48" t="s">
        <v>278</v>
      </c>
      <c r="C19" s="212"/>
      <c r="D19" s="212"/>
    </row>
    <row r="20" spans="1:40" x14ac:dyDescent="0.2">
      <c r="A20" s="40" t="s">
        <v>280</v>
      </c>
      <c r="B20" s="13" t="str">
        <f>VLOOKUP(A20,Справочники!$A:$B,2,FALSE)</f>
        <v>Возвратные отходы по пластинам</v>
      </c>
      <c r="C20" s="213" t="s">
        <v>288</v>
      </c>
      <c r="D20" s="242">
        <v>5</v>
      </c>
    </row>
    <row r="21" spans="1:40" x14ac:dyDescent="0.2">
      <c r="A21" s="40" t="s">
        <v>281</v>
      </c>
      <c r="B21" s="13" t="str">
        <f>VLOOKUP(A21,Справочники!$A:$B,2,FALSE)</f>
        <v>Возвратные отходы по бумаге</v>
      </c>
      <c r="C21" s="213" t="s">
        <v>288</v>
      </c>
      <c r="D21" s="242">
        <v>6</v>
      </c>
    </row>
    <row r="22" spans="1:40" x14ac:dyDescent="0.2">
      <c r="A22" s="40" t="s">
        <v>282</v>
      </c>
      <c r="B22" s="13" t="str">
        <f>VLOOKUP(A22,Справочники!$A:$B,2,FALSE)</f>
        <v>Возвратные отходы по пленкам</v>
      </c>
      <c r="C22" s="213" t="s">
        <v>288</v>
      </c>
      <c r="D22" s="242">
        <v>7</v>
      </c>
    </row>
    <row r="23" spans="1:40" s="39" customFormat="1" ht="13.5" thickBot="1" x14ac:dyDescent="0.25">
      <c r="A23" s="37" t="s">
        <v>79</v>
      </c>
      <c r="B23" s="38" t="s">
        <v>80</v>
      </c>
      <c r="C23" s="65"/>
      <c r="D23" s="65"/>
    </row>
    <row r="24" spans="1:40" x14ac:dyDescent="0.2">
      <c r="A24" s="36"/>
      <c r="B24" s="36"/>
      <c r="C24" s="214"/>
      <c r="D24" s="21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</row>
    <row r="25" spans="1:40" x14ac:dyDescent="0.2">
      <c r="A25" s="36"/>
      <c r="B25" s="36"/>
      <c r="C25" s="214"/>
      <c r="D25" s="21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</row>
    <row r="26" spans="1:40" s="53" customFormat="1" ht="14.25" x14ac:dyDescent="0.2">
      <c r="B26" s="48" t="s">
        <v>283</v>
      </c>
      <c r="C26" s="212"/>
      <c r="D26" s="212"/>
    </row>
    <row r="27" spans="1:40" x14ac:dyDescent="0.2">
      <c r="A27" s="2" t="s">
        <v>231</v>
      </c>
      <c r="B27" s="13" t="str">
        <f>VLOOKUP(A27,Справочники!$A:$B,2,FALSE)</f>
        <v>Химикаты</v>
      </c>
      <c r="C27" s="213" t="s">
        <v>289</v>
      </c>
      <c r="D27" s="242">
        <v>1</v>
      </c>
    </row>
    <row r="28" spans="1:40" x14ac:dyDescent="0.2">
      <c r="A28" s="2" t="s">
        <v>232</v>
      </c>
      <c r="B28" s="13" t="str">
        <f>VLOOKUP(A28,Справочники!$A:$B,2,FALSE)</f>
        <v>Проявитель обычный</v>
      </c>
      <c r="C28" s="213" t="s">
        <v>289</v>
      </c>
      <c r="D28" s="242">
        <v>1</v>
      </c>
    </row>
    <row r="29" spans="1:40" x14ac:dyDescent="0.2">
      <c r="A29" s="2" t="s">
        <v>233</v>
      </c>
      <c r="B29" s="13" t="str">
        <f>VLOOKUP(A29,Справочники!$A:$B,2,FALSE)</f>
        <v>Проявитель СТР</v>
      </c>
      <c r="C29" s="213" t="s">
        <v>289</v>
      </c>
      <c r="D29" s="242">
        <v>1</v>
      </c>
    </row>
    <row r="30" spans="1:40" x14ac:dyDescent="0.2">
      <c r="A30" s="2" t="s">
        <v>234</v>
      </c>
      <c r="B30" s="13" t="str">
        <f>VLOOKUP(A30,Справочники!$A:$B,2,FALSE)</f>
        <v>Подкрепитель обычный</v>
      </c>
      <c r="C30" s="213" t="s">
        <v>289</v>
      </c>
      <c r="D30" s="242">
        <v>1</v>
      </c>
    </row>
    <row r="31" spans="1:40" x14ac:dyDescent="0.2">
      <c r="A31" s="2" t="s">
        <v>235</v>
      </c>
      <c r="B31" s="13" t="str">
        <f>VLOOKUP(A31,Справочники!$A:$B,2,FALSE)</f>
        <v>Подкрепитель СТР</v>
      </c>
      <c r="C31" s="213" t="s">
        <v>289</v>
      </c>
      <c r="D31" s="242">
        <v>1</v>
      </c>
    </row>
    <row r="32" spans="1:40" x14ac:dyDescent="0.2">
      <c r="A32" s="2" t="s">
        <v>236</v>
      </c>
      <c r="B32" s="13" t="str">
        <f>VLOOKUP(A32,Справочники!$A:$B,2,FALSE)</f>
        <v>Изопропиловый спирт</v>
      </c>
      <c r="C32" s="213" t="s">
        <v>289</v>
      </c>
      <c r="D32" s="242">
        <v>1</v>
      </c>
    </row>
    <row r="33" spans="1:40" x14ac:dyDescent="0.2">
      <c r="A33" s="2" t="s">
        <v>237</v>
      </c>
      <c r="B33" s="13" t="str">
        <f>VLOOKUP(A33,Справочники!$A:$B,2,FALSE)</f>
        <v>Аквастабил</v>
      </c>
      <c r="C33" s="213" t="s">
        <v>289</v>
      </c>
      <c r="D33" s="242">
        <v>1</v>
      </c>
    </row>
    <row r="34" spans="1:40" x14ac:dyDescent="0.2">
      <c r="A34" s="2" t="s">
        <v>238</v>
      </c>
      <c r="B34" s="13" t="str">
        <f>VLOOKUP(A34,Справочники!$A:$B,2,FALSE)</f>
        <v>Смывка ручная</v>
      </c>
      <c r="C34" s="213" t="s">
        <v>289</v>
      </c>
      <c r="D34" s="242">
        <v>1</v>
      </c>
    </row>
    <row r="35" spans="1:40" x14ac:dyDescent="0.2">
      <c r="A35" s="2" t="s">
        <v>239</v>
      </c>
      <c r="B35" s="13" t="str">
        <f>VLOOKUP(A35,Справочники!$A:$B,2,FALSE)</f>
        <v>Смывка автоматическая</v>
      </c>
      <c r="C35" s="213" t="s">
        <v>289</v>
      </c>
      <c r="D35" s="242">
        <v>1</v>
      </c>
    </row>
    <row r="36" spans="1:40" x14ac:dyDescent="0.2">
      <c r="A36" s="2" t="s">
        <v>240</v>
      </c>
      <c r="B36" s="13" t="str">
        <f>VLOOKUP(A36,Справочники!$A:$B,2,FALSE)</f>
        <v>Сиккатив для увлажняющего раствора</v>
      </c>
      <c r="C36" s="213" t="s">
        <v>289</v>
      </c>
      <c r="D36" s="242">
        <v>1</v>
      </c>
    </row>
    <row r="37" spans="1:40" x14ac:dyDescent="0.2">
      <c r="A37" s="2" t="s">
        <v>241</v>
      </c>
      <c r="B37" s="13" t="str">
        <f>VLOOKUP(A37,Справочники!$A:$B,2,FALSE)</f>
        <v>Антисиккатив</v>
      </c>
      <c r="C37" s="213" t="s">
        <v>289</v>
      </c>
      <c r="D37" s="242">
        <v>1</v>
      </c>
    </row>
    <row r="38" spans="1:40" x14ac:dyDescent="0.2">
      <c r="A38" s="2" t="s">
        <v>242</v>
      </c>
      <c r="B38" s="13" t="str">
        <f>VLOOKUP(A38,Справочники!$A:$B,2,FALSE)</f>
        <v>Антисиккатив-спрей</v>
      </c>
      <c r="C38" s="213" t="s">
        <v>290</v>
      </c>
      <c r="D38" s="242">
        <v>1</v>
      </c>
    </row>
    <row r="39" spans="1:40" s="39" customFormat="1" ht="13.5" thickBot="1" x14ac:dyDescent="0.25">
      <c r="A39" s="37" t="s">
        <v>79</v>
      </c>
      <c r="B39" s="38" t="s">
        <v>80</v>
      </c>
      <c r="C39" s="65"/>
      <c r="D39" s="65"/>
    </row>
    <row r="40" spans="1:40" x14ac:dyDescent="0.2">
      <c r="A40" s="36"/>
      <c r="B40" s="36"/>
      <c r="C40" s="214"/>
      <c r="D40" s="21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</row>
    <row r="41" spans="1:40" x14ac:dyDescent="0.2">
      <c r="A41" s="36"/>
      <c r="B41" s="36"/>
      <c r="C41" s="214"/>
      <c r="D41" s="21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</row>
    <row r="42" spans="1:40" s="53" customFormat="1" ht="14.25" x14ac:dyDescent="0.2">
      <c r="B42" s="48" t="s">
        <v>284</v>
      </c>
      <c r="C42" s="212"/>
      <c r="D42" s="212"/>
    </row>
    <row r="43" spans="1:40" x14ac:dyDescent="0.2">
      <c r="A43" s="2" t="s">
        <v>246</v>
      </c>
      <c r="B43" s="13" t="str">
        <f>VLOOKUP(A43,Справочники!$A:$B,2,FALSE)</f>
        <v>Триадная краска</v>
      </c>
      <c r="C43" s="213" t="s">
        <v>288</v>
      </c>
      <c r="D43" s="242">
        <v>1</v>
      </c>
    </row>
    <row r="44" spans="1:40" x14ac:dyDescent="0.2">
      <c r="A44" s="2" t="s">
        <v>247</v>
      </c>
      <c r="B44" s="13" t="str">
        <f>VLOOKUP(A44,Справочники!$A:$B,2,FALSE)</f>
        <v>Понтоны обычные</v>
      </c>
      <c r="C44" s="213" t="s">
        <v>288</v>
      </c>
      <c r="D44" s="242">
        <v>4</v>
      </c>
    </row>
    <row r="45" spans="1:40" x14ac:dyDescent="0.2">
      <c r="A45" s="2" t="s">
        <v>248</v>
      </c>
      <c r="B45" s="13" t="str">
        <f>VLOOKUP(A45,Справочники!$A:$B,2,FALSE)</f>
        <v>Понтоны металлизированные</v>
      </c>
      <c r="C45" s="213" t="s">
        <v>288</v>
      </c>
      <c r="D45" s="242">
        <v>3</v>
      </c>
    </row>
    <row r="46" spans="1:40" x14ac:dyDescent="0.2">
      <c r="A46" s="2" t="s">
        <v>250</v>
      </c>
      <c r="B46" s="13" t="str">
        <f>VLOOKUP(A46,Справочники!$A:$B,2,FALSE)</f>
        <v>Лак вододисперсионный матовый</v>
      </c>
      <c r="C46" s="213" t="s">
        <v>288</v>
      </c>
      <c r="D46" s="242">
        <v>2</v>
      </c>
    </row>
    <row r="47" spans="1:40" x14ac:dyDescent="0.2">
      <c r="A47" s="2" t="s">
        <v>251</v>
      </c>
      <c r="B47" s="13" t="str">
        <f>VLOOKUP(A47,Справочники!$A:$B,2,FALSE)</f>
        <v>Лак вододисперсионный глянцевый</v>
      </c>
      <c r="C47" s="213" t="s">
        <v>288</v>
      </c>
      <c r="D47" s="242">
        <v>2</v>
      </c>
    </row>
    <row r="48" spans="1:40" x14ac:dyDescent="0.2">
      <c r="A48" s="2" t="s">
        <v>252</v>
      </c>
      <c r="B48" s="13" t="str">
        <f>VLOOKUP(A48,Справочники!$A:$B,2,FALSE)</f>
        <v>Лак вододисперсионный универсальный</v>
      </c>
      <c r="C48" s="213" t="s">
        <v>288</v>
      </c>
      <c r="D48" s="242">
        <v>2</v>
      </c>
    </row>
    <row r="49" spans="1:40" x14ac:dyDescent="0.2">
      <c r="A49" s="2" t="s">
        <v>253</v>
      </c>
      <c r="B49" s="13" t="str">
        <f>VLOOKUP(A49,Справочники!$A:$B,2,FALSE)</f>
        <v>Лак вододисперсионный праймер</v>
      </c>
      <c r="C49" s="213" t="s">
        <v>288</v>
      </c>
      <c r="D49" s="242">
        <v>2</v>
      </c>
    </row>
    <row r="50" spans="1:40" x14ac:dyDescent="0.2">
      <c r="A50" s="2" t="s">
        <v>255</v>
      </c>
      <c r="B50" s="13" t="str">
        <f>VLOOKUP(A50,Справочники!$A:$B,2,FALSE)</f>
        <v>Лак офсетный матовый</v>
      </c>
      <c r="C50" s="213" t="s">
        <v>288</v>
      </c>
      <c r="D50" s="242">
        <v>2</v>
      </c>
    </row>
    <row r="51" spans="1:40" x14ac:dyDescent="0.2">
      <c r="A51" s="2" t="s">
        <v>256</v>
      </c>
      <c r="B51" s="13" t="str">
        <f>VLOOKUP(A51,Справочники!$A:$B,2,FALSE)</f>
        <v>Лак офсетный глянцевый</v>
      </c>
      <c r="C51" s="213" t="s">
        <v>288</v>
      </c>
      <c r="D51" s="242">
        <v>2</v>
      </c>
    </row>
    <row r="52" spans="1:40" x14ac:dyDescent="0.2">
      <c r="A52" s="2" t="s">
        <v>257</v>
      </c>
      <c r="B52" s="13" t="str">
        <f>VLOOKUP(A52,Справочники!$A:$B,2,FALSE)</f>
        <v>Лак офсетный универсальный</v>
      </c>
      <c r="C52" s="213" t="s">
        <v>288</v>
      </c>
      <c r="D52" s="242">
        <v>2</v>
      </c>
    </row>
    <row r="53" spans="1:40" s="39" customFormat="1" ht="13.5" thickBot="1" x14ac:dyDescent="0.25">
      <c r="A53" s="37" t="s">
        <v>79</v>
      </c>
      <c r="B53" s="38" t="s">
        <v>80</v>
      </c>
      <c r="C53" s="65"/>
      <c r="D53" s="65"/>
    </row>
    <row r="54" spans="1:40" x14ac:dyDescent="0.2">
      <c r="A54" s="36"/>
      <c r="B54" s="36"/>
      <c r="C54" s="214"/>
      <c r="D54" s="21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</row>
    <row r="55" spans="1:40" x14ac:dyDescent="0.2">
      <c r="A55" s="36"/>
      <c r="B55" s="36"/>
      <c r="C55" s="214"/>
      <c r="D55" s="21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</row>
    <row r="56" spans="1:40" s="53" customFormat="1" ht="14.25" x14ac:dyDescent="0.2">
      <c r="B56" s="48" t="s">
        <v>285</v>
      </c>
      <c r="C56" s="215"/>
      <c r="D56" s="215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</row>
    <row r="57" spans="1:40" x14ac:dyDescent="0.2">
      <c r="A57" s="2" t="s">
        <v>259</v>
      </c>
      <c r="B57" s="13" t="str">
        <f>VLOOKUP(A57,Справочники!$A:$B,2,FALSE)</f>
        <v>Офсетная резина для краски</v>
      </c>
      <c r="C57" s="213" t="s">
        <v>287</v>
      </c>
      <c r="D57" s="243">
        <v>2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</row>
    <row r="58" spans="1:40" x14ac:dyDescent="0.2">
      <c r="A58" s="2" t="s">
        <v>260</v>
      </c>
      <c r="B58" s="13" t="str">
        <f>VLOOKUP(A58,Справочники!$A:$B,2,FALSE)</f>
        <v>Офсетное полотно для лака</v>
      </c>
      <c r="C58" s="213" t="s">
        <v>287</v>
      </c>
      <c r="D58" s="243">
        <v>3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</row>
    <row r="59" spans="1:40" s="39" customFormat="1" ht="13.5" thickBot="1" x14ac:dyDescent="0.25">
      <c r="A59" s="37" t="s">
        <v>79</v>
      </c>
      <c r="B59" s="38" t="s">
        <v>80</v>
      </c>
      <c r="C59" s="65"/>
      <c r="D59" s="65"/>
    </row>
    <row r="60" spans="1:40" s="35" customFormat="1" x14ac:dyDescent="0.2">
      <c r="A60" s="40"/>
      <c r="B60" s="41"/>
      <c r="C60" s="210"/>
      <c r="D60" s="210"/>
    </row>
    <row r="61" spans="1:40" x14ac:dyDescent="0.2">
      <c r="A61" s="36"/>
      <c r="B61" s="36"/>
      <c r="C61" s="214"/>
      <c r="D61" s="21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</row>
    <row r="62" spans="1:40" s="53" customFormat="1" ht="14.25" x14ac:dyDescent="0.2">
      <c r="B62" s="48" t="s">
        <v>286</v>
      </c>
      <c r="C62" s="212"/>
      <c r="D62" s="212"/>
    </row>
    <row r="63" spans="1:40" x14ac:dyDescent="0.2">
      <c r="A63" s="2" t="s">
        <v>262</v>
      </c>
      <c r="B63" s="13" t="str">
        <f>VLOOKUP(A63,Справочники!$A:$B,2,FALSE)</f>
        <v>Астролон</v>
      </c>
      <c r="C63" s="213" t="s">
        <v>287</v>
      </c>
      <c r="D63" s="242"/>
    </row>
    <row r="64" spans="1:40" x14ac:dyDescent="0.2">
      <c r="A64" s="2" t="s">
        <v>263</v>
      </c>
      <c r="B64" s="13" t="str">
        <f>VLOOKUP(A64,Справочники!$A:$B,2,FALSE)</f>
        <v>Скотч кристально-прозрачный</v>
      </c>
      <c r="C64" s="213" t="s">
        <v>291</v>
      </c>
      <c r="D64" s="242"/>
    </row>
    <row r="65" spans="1:4" x14ac:dyDescent="0.2">
      <c r="A65" s="2" t="s">
        <v>264</v>
      </c>
      <c r="B65" s="13" t="str">
        <f>VLOOKUP(A65,Справочники!$A:$B,2,FALSE)</f>
        <v>Бумага для принтера</v>
      </c>
      <c r="C65" s="213" t="s">
        <v>294</v>
      </c>
      <c r="D65" s="242"/>
    </row>
    <row r="66" spans="1:4" x14ac:dyDescent="0.2">
      <c r="A66" s="2" t="s">
        <v>265</v>
      </c>
      <c r="B66" s="13" t="str">
        <f>VLOOKUP(A66,Справочники!$A:$B,2,FALSE)</f>
        <v>Картриджи для принтера</v>
      </c>
      <c r="C66" s="213" t="s">
        <v>291</v>
      </c>
      <c r="D66" s="242"/>
    </row>
    <row r="67" spans="1:4" x14ac:dyDescent="0.2">
      <c r="A67" s="2" t="s">
        <v>266</v>
      </c>
      <c r="B67" s="13" t="str">
        <f>VLOOKUP(A67,Справочники!$A:$B,2,FALSE)</f>
        <v>Антиизвестковая смывка для проявочных машин</v>
      </c>
      <c r="C67" s="213" t="s">
        <v>288</v>
      </c>
      <c r="D67" s="242"/>
    </row>
    <row r="68" spans="1:4" x14ac:dyDescent="0.2">
      <c r="A68" s="2" t="s">
        <v>267</v>
      </c>
      <c r="B68" s="13" t="str">
        <f>VLOOKUP(A68,Справочники!$A:$B,2,FALSE)</f>
        <v>Корректирующие карандаши</v>
      </c>
      <c r="C68" s="213" t="s">
        <v>291</v>
      </c>
      <c r="D68" s="242"/>
    </row>
    <row r="69" spans="1:4" x14ac:dyDescent="0.2">
      <c r="A69" s="2" t="s">
        <v>268</v>
      </c>
      <c r="B69" s="13" t="str">
        <f>VLOOKUP(A69,Справочники!$A:$B,2,FALSE)</f>
        <v>Средство для очистки системы увлажнения</v>
      </c>
      <c r="C69" s="213" t="s">
        <v>288</v>
      </c>
      <c r="D69" s="242"/>
    </row>
    <row r="70" spans="1:4" x14ac:dyDescent="0.2">
      <c r="A70" s="2" t="s">
        <v>269</v>
      </c>
      <c r="B70" s="13" t="str">
        <f>VLOOKUP(A70,Справочники!$A:$B,2,FALSE)</f>
        <v>Декель</v>
      </c>
      <c r="C70" s="213" t="s">
        <v>288</v>
      </c>
      <c r="D70" s="242"/>
    </row>
    <row r="71" spans="1:4" x14ac:dyDescent="0.2">
      <c r="A71" s="2" t="s">
        <v>270</v>
      </c>
      <c r="B71" s="13" t="str">
        <f>VLOOKUP(A71,Справочники!$A:$B,2,FALSE)</f>
        <v>Противоотмарывающий порошок</v>
      </c>
      <c r="C71" s="213" t="s">
        <v>288</v>
      </c>
      <c r="D71" s="242"/>
    </row>
    <row r="72" spans="1:4" x14ac:dyDescent="0.2">
      <c r="A72" s="2" t="s">
        <v>271</v>
      </c>
      <c r="B72" s="13" t="str">
        <f>VLOOKUP(A72,Справочники!$A:$B,2,FALSE)</f>
        <v>Керосин</v>
      </c>
      <c r="C72" s="213" t="s">
        <v>289</v>
      </c>
      <c r="D72" s="242"/>
    </row>
    <row r="73" spans="1:4" x14ac:dyDescent="0.2">
      <c r="A73" s="2" t="s">
        <v>272</v>
      </c>
      <c r="B73" s="13" t="str">
        <f>VLOOKUP(A73,Справочники!$A:$B,2,FALSE)</f>
        <v>Ветошь</v>
      </c>
      <c r="C73" s="213" t="s">
        <v>287</v>
      </c>
      <c r="D73" s="242"/>
    </row>
    <row r="74" spans="1:4" x14ac:dyDescent="0.2">
      <c r="A74" s="2" t="s">
        <v>273</v>
      </c>
      <c r="B74" s="13" t="str">
        <f>VLOOKUP(A74,Справочники!$A:$B,2,FALSE)</f>
        <v>Резиновые перчатки</v>
      </c>
      <c r="C74" s="213" t="s">
        <v>291</v>
      </c>
      <c r="D74" s="242"/>
    </row>
    <row r="75" spans="1:4" s="39" customFormat="1" ht="13.5" thickBot="1" x14ac:dyDescent="0.25">
      <c r="A75" s="37" t="s">
        <v>79</v>
      </c>
      <c r="B75" s="38" t="s">
        <v>80</v>
      </c>
      <c r="C75" s="65"/>
      <c r="D75" s="65"/>
    </row>
    <row r="76" spans="1:4" x14ac:dyDescent="0.2">
      <c r="A76" s="1"/>
      <c r="B76" s="1"/>
    </row>
    <row r="77" spans="1:4" s="53" customFormat="1" ht="14.25" x14ac:dyDescent="0.2">
      <c r="A77" s="47"/>
      <c r="B77" s="48" t="s">
        <v>308</v>
      </c>
      <c r="C77" s="211"/>
      <c r="D77" s="212"/>
    </row>
    <row r="78" spans="1:4" x14ac:dyDescent="0.2">
      <c r="A78" s="1" t="s">
        <v>170</v>
      </c>
      <c r="B78" s="13" t="str">
        <f>VLOOKUP(A78,Справочники!$A:$B,2,FALSE)</f>
        <v>Проволока для скрепления</v>
      </c>
      <c r="C78" s="213" t="s">
        <v>309</v>
      </c>
      <c r="D78" s="242">
        <v>0.3</v>
      </c>
    </row>
    <row r="79" spans="1:4" s="39" customFormat="1" ht="13.5" thickBot="1" x14ac:dyDescent="0.25">
      <c r="A79" s="37" t="s">
        <v>79</v>
      </c>
      <c r="B79" s="38" t="s">
        <v>80</v>
      </c>
      <c r="C79" s="65"/>
      <c r="D79" s="65"/>
    </row>
    <row r="84" spans="4:4" x14ac:dyDescent="0.2">
      <c r="D84" s="18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opLeftCell="D1" workbookViewId="0">
      <pane ySplit="1" topLeftCell="A2" activePane="bottomLeft" state="frozen"/>
      <selection pane="bottomLeft" activeCell="E20" sqref="E20"/>
    </sheetView>
  </sheetViews>
  <sheetFormatPr defaultRowHeight="12.75" x14ac:dyDescent="0.2"/>
  <cols>
    <col min="1" max="1" width="11.140625" style="18" hidden="1" customWidth="1"/>
    <col min="2" max="2" width="11.28515625" style="18" hidden="1" customWidth="1"/>
    <col min="3" max="3" width="8" style="18" hidden="1" customWidth="1"/>
    <col min="4" max="4" width="7.28515625" style="45" customWidth="1"/>
    <col min="5" max="5" width="41.42578125" style="67" customWidth="1"/>
    <col min="6" max="6" width="11.85546875" style="45" customWidth="1"/>
    <col min="7" max="7" width="7.28515625" style="45" customWidth="1"/>
    <col min="8" max="8" width="24.85546875" style="67" customWidth="1"/>
    <col min="9" max="10" width="18.7109375" style="45" customWidth="1"/>
    <col min="11" max="12" width="6.28515625" style="18" customWidth="1"/>
    <col min="13" max="14" width="7" style="18" customWidth="1"/>
    <col min="15" max="15" width="9.7109375" style="18" customWidth="1"/>
    <col min="16" max="44" width="6.28515625" style="18" customWidth="1"/>
    <col min="45" max="16384" width="9.140625" style="18"/>
  </cols>
  <sheetData>
    <row r="1" spans="1:11" ht="25.5" x14ac:dyDescent="0.2">
      <c r="B1" s="16" t="s">
        <v>356</v>
      </c>
      <c r="C1" s="16" t="s">
        <v>50</v>
      </c>
      <c r="D1" s="185" t="s">
        <v>72</v>
      </c>
      <c r="E1" s="119" t="s">
        <v>310</v>
      </c>
      <c r="F1" s="119" t="s">
        <v>311</v>
      </c>
      <c r="G1" s="186" t="s">
        <v>412</v>
      </c>
      <c r="H1" s="119" t="s">
        <v>386</v>
      </c>
      <c r="I1" s="119" t="s">
        <v>388</v>
      </c>
      <c r="J1" s="120" t="s">
        <v>416</v>
      </c>
      <c r="K1" s="16"/>
    </row>
    <row r="2" spans="1:11" s="42" customFormat="1" x14ac:dyDescent="0.2">
      <c r="A2" s="42" t="str">
        <f>CONCATENATE(C2,D2)</f>
        <v>Ц_1Ц_1</v>
      </c>
      <c r="C2" s="42" t="str">
        <f t="shared" ref="C2:C7" si="0">D$2</f>
        <v>Ц_1</v>
      </c>
      <c r="D2" s="187" t="s">
        <v>190</v>
      </c>
      <c r="E2" s="188" t="str">
        <f>VLOOKUP(D2,Справочники!$A:$B,2,FALSE)</f>
        <v>Цех допечатной подготовки</v>
      </c>
      <c r="F2" s="111"/>
      <c r="G2" s="189"/>
      <c r="H2" s="188"/>
      <c r="I2" s="200"/>
      <c r="J2" s="201"/>
    </row>
    <row r="3" spans="1:11" x14ac:dyDescent="0.2">
      <c r="A3" s="42" t="str">
        <f t="shared" ref="A3:A66" si="1">CONCATENATE(C3,D3)</f>
        <v>Ц_12</v>
      </c>
      <c r="B3" s="42"/>
      <c r="C3" s="42" t="str">
        <f t="shared" si="0"/>
        <v>Ц_1</v>
      </c>
      <c r="D3" s="99" t="s">
        <v>125</v>
      </c>
      <c r="E3" s="190" t="str">
        <f>VLOOKUP(D3,Справочники!$A:$B,2,FALSE)</f>
        <v>Общепроизводственные</v>
      </c>
      <c r="F3" s="207">
        <f>SUM(F4:F7)</f>
        <v>15000</v>
      </c>
      <c r="G3" s="198" t="s">
        <v>382</v>
      </c>
      <c r="H3" s="198" t="s">
        <v>382</v>
      </c>
      <c r="I3" s="198" t="s">
        <v>382</v>
      </c>
      <c r="J3" s="199" t="s">
        <v>382</v>
      </c>
    </row>
    <row r="4" spans="1:11" ht="25.5" x14ac:dyDescent="0.2">
      <c r="A4" s="42" t="str">
        <f t="shared" si="1"/>
        <v>Ц_12.1</v>
      </c>
      <c r="B4" s="184" t="str">
        <f t="shared" ref="B4:B35" si="2">CONCATENATE(C4,G4)</f>
        <v>Ц_1ПП_2</v>
      </c>
      <c r="C4" s="42" t="str">
        <f t="shared" si="0"/>
        <v>Ц_1</v>
      </c>
      <c r="D4" s="99" t="s">
        <v>84</v>
      </c>
      <c r="E4" s="191" t="str">
        <f>VLOOKUP(D4,Справочники!$A:$B,2,FALSE)</f>
        <v>Амортизация оборудования</v>
      </c>
      <c r="F4" s="131">
        <v>10000</v>
      </c>
      <c r="G4" s="169" t="s">
        <v>390</v>
      </c>
      <c r="H4" s="191" t="str">
        <f>VLOOKUP(G4,'Уровень деятельности'!B$2:D$22,2,FALSE)</f>
        <v>Нормативное время выполения заказов</v>
      </c>
      <c r="I4" s="202">
        <f>SUMIF('Уровень деятельности'!A$1:A$50,B4,'Уровень деятельности'!D$1:D$50)</f>
        <v>500</v>
      </c>
      <c r="J4" s="203">
        <f>F4/I4</f>
        <v>20</v>
      </c>
    </row>
    <row r="5" spans="1:11" x14ac:dyDescent="0.2">
      <c r="A5" s="42" t="str">
        <f t="shared" si="1"/>
        <v>Ц_12.2</v>
      </c>
      <c r="B5" s="184" t="str">
        <f t="shared" si="2"/>
        <v>Ц_1ПП_1</v>
      </c>
      <c r="C5" s="42" t="str">
        <f t="shared" si="0"/>
        <v>Ц_1</v>
      </c>
      <c r="D5" s="99" t="s">
        <v>87</v>
      </c>
      <c r="E5" s="191" t="str">
        <f>VLOOKUP(D5,Справочники!$A:$B,2,FALSE)</f>
        <v>Вспомогательные материалы</v>
      </c>
      <c r="F5" s="131">
        <v>5000</v>
      </c>
      <c r="G5" s="169" t="s">
        <v>389</v>
      </c>
      <c r="H5" s="191" t="str">
        <f>VLOOKUP(G5,'Уровень деятельности'!B$2:D$22,2,FALSE)</f>
        <v>Количество пластин</v>
      </c>
      <c r="I5" s="202">
        <f>SUMIF('Уровень деятельности'!A$1:A$50,B5,'Уровень деятельности'!D$1:D$50)</f>
        <v>200</v>
      </c>
      <c r="J5" s="203">
        <f t="shared" ref="J5:J67" si="3">F5/I5</f>
        <v>25</v>
      </c>
    </row>
    <row r="6" spans="1:11" x14ac:dyDescent="0.2">
      <c r="A6" s="42" t="str">
        <f t="shared" si="1"/>
        <v>Ц_12.3</v>
      </c>
      <c r="B6" s="184" t="str">
        <f t="shared" si="2"/>
        <v>Ц_1ПП_1</v>
      </c>
      <c r="C6" s="42" t="str">
        <f t="shared" si="0"/>
        <v>Ц_1</v>
      </c>
      <c r="D6" s="99" t="s">
        <v>175</v>
      </c>
      <c r="E6" s="191" t="str">
        <f>VLOOKUP(D6,Справочники!$A:$B,2,FALSE)</f>
        <v>Запчасти для ремонта оборудования</v>
      </c>
      <c r="F6" s="131"/>
      <c r="G6" s="169" t="s">
        <v>389</v>
      </c>
      <c r="H6" s="191" t="str">
        <f>VLOOKUP(G6,'Уровень деятельности'!B$2:D$22,2,FALSE)</f>
        <v>Количество пластин</v>
      </c>
      <c r="I6" s="202">
        <f>SUMIF('Уровень деятельности'!A$1:A$50,B6,'Уровень деятельности'!D$1:D$50)</f>
        <v>200</v>
      </c>
      <c r="J6" s="203">
        <f t="shared" si="3"/>
        <v>0</v>
      </c>
    </row>
    <row r="7" spans="1:11" x14ac:dyDescent="0.2">
      <c r="A7" s="42" t="str">
        <f t="shared" si="1"/>
        <v>Ц_12.4</v>
      </c>
      <c r="B7" s="184" t="str">
        <f t="shared" si="2"/>
        <v>Ц_1ПП_1</v>
      </c>
      <c r="C7" s="42" t="str">
        <f t="shared" si="0"/>
        <v>Ц_1</v>
      </c>
      <c r="D7" s="99" t="s">
        <v>176</v>
      </c>
      <c r="E7" s="191" t="str">
        <f>VLOOKUP(D7,Справочники!$A:$B,2,FALSE)</f>
        <v>Услуги стор орг-ий по рем и обслуж оборуд-я</v>
      </c>
      <c r="F7" s="131"/>
      <c r="G7" s="169" t="s">
        <v>389</v>
      </c>
      <c r="H7" s="191" t="str">
        <f>VLOOKUP(G7,'Уровень деятельности'!B$2:D$22,2,FALSE)</f>
        <v>Количество пластин</v>
      </c>
      <c r="I7" s="202">
        <f>SUMIF('Уровень деятельности'!A$1:A$50,B7,'Уровень деятельности'!D$1:D$50)</f>
        <v>200</v>
      </c>
      <c r="J7" s="203">
        <f t="shared" si="3"/>
        <v>0</v>
      </c>
    </row>
    <row r="8" spans="1:11" s="42" customFormat="1" x14ac:dyDescent="0.2">
      <c r="A8" s="42" t="str">
        <f t="shared" si="1"/>
        <v>Ц_2Ц_2</v>
      </c>
      <c r="B8" s="184" t="str">
        <f t="shared" si="2"/>
        <v>Ц_2</v>
      </c>
      <c r="C8" s="42" t="str">
        <f t="shared" ref="C8:C13" si="4">D$8</f>
        <v>Ц_2</v>
      </c>
      <c r="D8" s="187" t="s">
        <v>191</v>
      </c>
      <c r="E8" s="188" t="str">
        <f>VLOOKUP(D8,Справочники!$A:$B,2,FALSE)</f>
        <v>Печатная машина КВА 72</v>
      </c>
      <c r="F8" s="111"/>
      <c r="G8" s="189"/>
      <c r="H8" s="188"/>
      <c r="I8" s="200"/>
      <c r="J8" s="201"/>
    </row>
    <row r="9" spans="1:11" x14ac:dyDescent="0.2">
      <c r="A9" s="42" t="str">
        <f t="shared" si="1"/>
        <v>Ц_22</v>
      </c>
      <c r="B9" s="184" t="str">
        <f t="shared" si="2"/>
        <v>Ц_2-</v>
      </c>
      <c r="C9" s="42" t="str">
        <f t="shared" si="4"/>
        <v>Ц_2</v>
      </c>
      <c r="D9" s="99" t="s">
        <v>125</v>
      </c>
      <c r="E9" s="190" t="str">
        <f>VLOOKUP(D9,Справочники!$A:$B,2,FALSE)</f>
        <v>Общепроизводственные</v>
      </c>
      <c r="F9" s="207">
        <f>SUM(F10:F13)</f>
        <v>20000</v>
      </c>
      <c r="G9" s="198" t="s">
        <v>382</v>
      </c>
      <c r="H9" s="198" t="s">
        <v>382</v>
      </c>
      <c r="I9" s="198" t="s">
        <v>382</v>
      </c>
      <c r="J9" s="199" t="s">
        <v>382</v>
      </c>
    </row>
    <row r="10" spans="1:11" ht="25.5" x14ac:dyDescent="0.2">
      <c r="A10" s="42" t="str">
        <f t="shared" si="1"/>
        <v>Ц_22.1</v>
      </c>
      <c r="B10" s="184" t="str">
        <f t="shared" si="2"/>
        <v>Ц_2ПП_2</v>
      </c>
      <c r="C10" s="42" t="str">
        <f t="shared" si="4"/>
        <v>Ц_2</v>
      </c>
      <c r="D10" s="99" t="s">
        <v>84</v>
      </c>
      <c r="E10" s="191" t="str">
        <f>VLOOKUP(D10,Справочники!$A:$B,2,FALSE)</f>
        <v>Амортизация оборудования</v>
      </c>
      <c r="F10" s="131"/>
      <c r="G10" s="169" t="s">
        <v>390</v>
      </c>
      <c r="H10" s="191" t="str">
        <f>VLOOKUP(G10,'Уровень деятельности'!B$2:D$22,2,FALSE)</f>
        <v>Нормативное время выполения заказов</v>
      </c>
      <c r="I10" s="202">
        <f>SUMIF('Уровень деятельности'!A$1:A$50,B10,'Уровень деятельности'!D$1:D$50)</f>
        <v>550</v>
      </c>
      <c r="J10" s="231">
        <f t="shared" si="3"/>
        <v>0</v>
      </c>
    </row>
    <row r="11" spans="1:11" x14ac:dyDescent="0.2">
      <c r="A11" s="42" t="str">
        <f t="shared" si="1"/>
        <v>Ц_22.2</v>
      </c>
      <c r="B11" s="184" t="str">
        <f t="shared" si="2"/>
        <v>Ц_2ПП_3</v>
      </c>
      <c r="C11" s="42" t="str">
        <f t="shared" si="4"/>
        <v>Ц_2</v>
      </c>
      <c r="D11" s="99" t="s">
        <v>87</v>
      </c>
      <c r="E11" s="191" t="str">
        <f>VLOOKUP(D11,Справочники!$A:$B,2,FALSE)</f>
        <v>Вспомогательные материалы</v>
      </c>
      <c r="F11" s="131">
        <v>20000</v>
      </c>
      <c r="G11" s="169" t="s">
        <v>391</v>
      </c>
      <c r="H11" s="191" t="str">
        <f>VLOOKUP(G11,'Уровень деятельности'!B$2:D$22,2,FALSE)</f>
        <v>Количество краскопрогонов</v>
      </c>
      <c r="I11" s="202">
        <f>SUMIF('Уровень деятельности'!A$1:A$50,B11,'Уровень деятельности'!D$1:D$50)</f>
        <v>21000</v>
      </c>
      <c r="J11" s="231">
        <f t="shared" si="3"/>
        <v>0.95238095238095233</v>
      </c>
    </row>
    <row r="12" spans="1:11" x14ac:dyDescent="0.2">
      <c r="A12" s="42" t="str">
        <f t="shared" si="1"/>
        <v>Ц_22.3</v>
      </c>
      <c r="B12" s="184" t="str">
        <f t="shared" si="2"/>
        <v>Ц_2ПП_3</v>
      </c>
      <c r="C12" s="42" t="str">
        <f t="shared" si="4"/>
        <v>Ц_2</v>
      </c>
      <c r="D12" s="99" t="s">
        <v>175</v>
      </c>
      <c r="E12" s="191" t="str">
        <f>VLOOKUP(D12,Справочники!$A:$B,2,FALSE)</f>
        <v>Запчасти для ремонта оборудования</v>
      </c>
      <c r="F12" s="131"/>
      <c r="G12" s="169" t="s">
        <v>391</v>
      </c>
      <c r="H12" s="191" t="str">
        <f>VLOOKUP(G12,'Уровень деятельности'!B$2:D$22,2,FALSE)</f>
        <v>Количество краскопрогонов</v>
      </c>
      <c r="I12" s="202">
        <f>SUMIF('Уровень деятельности'!A$1:A$50,B12,'Уровень деятельности'!D$1:D$50)</f>
        <v>21000</v>
      </c>
      <c r="J12" s="203">
        <f t="shared" si="3"/>
        <v>0</v>
      </c>
    </row>
    <row r="13" spans="1:11" x14ac:dyDescent="0.2">
      <c r="A13" s="42" t="str">
        <f t="shared" si="1"/>
        <v>Ц_22.4</v>
      </c>
      <c r="B13" s="184" t="str">
        <f t="shared" si="2"/>
        <v>Ц_2ПП_3</v>
      </c>
      <c r="C13" s="42" t="str">
        <f t="shared" si="4"/>
        <v>Ц_2</v>
      </c>
      <c r="D13" s="99" t="s">
        <v>176</v>
      </c>
      <c r="E13" s="191" t="str">
        <f>VLOOKUP(D13,Справочники!$A:$B,2,FALSE)</f>
        <v>Услуги стор орг-ий по рем и обслуж оборуд-я</v>
      </c>
      <c r="F13" s="131"/>
      <c r="G13" s="169" t="s">
        <v>391</v>
      </c>
      <c r="H13" s="191" t="str">
        <f>VLOOKUP(G13,'Уровень деятельности'!B$2:D$22,2,FALSE)</f>
        <v>Количество краскопрогонов</v>
      </c>
      <c r="I13" s="202">
        <f>SUMIF('Уровень деятельности'!A$1:A$50,B13,'Уровень деятельности'!D$1:D$50)</f>
        <v>21000</v>
      </c>
      <c r="J13" s="203">
        <f t="shared" si="3"/>
        <v>0</v>
      </c>
    </row>
    <row r="14" spans="1:11" s="42" customFormat="1" x14ac:dyDescent="0.2">
      <c r="A14" s="42" t="str">
        <f t="shared" si="1"/>
        <v>Ц_3Ц_3</v>
      </c>
      <c r="B14" s="184" t="str">
        <f t="shared" si="2"/>
        <v>Ц_3</v>
      </c>
      <c r="C14" s="42" t="str">
        <f t="shared" ref="C14:C19" si="5">D$14</f>
        <v>Ц_3</v>
      </c>
      <c r="D14" s="187" t="s">
        <v>192</v>
      </c>
      <c r="E14" s="188" t="str">
        <f>VLOOKUP(D14,Справочники!$A:$B,2,FALSE)</f>
        <v>Печатная машина КВА 105</v>
      </c>
      <c r="F14" s="111"/>
      <c r="G14" s="189"/>
      <c r="H14" s="188"/>
      <c r="I14" s="200"/>
      <c r="J14" s="201"/>
    </row>
    <row r="15" spans="1:11" x14ac:dyDescent="0.2">
      <c r="A15" s="42" t="str">
        <f t="shared" si="1"/>
        <v>Ц_32</v>
      </c>
      <c r="B15" s="184" t="str">
        <f t="shared" si="2"/>
        <v>Ц_3-</v>
      </c>
      <c r="C15" s="42" t="str">
        <f t="shared" si="5"/>
        <v>Ц_3</v>
      </c>
      <c r="D15" s="99" t="s">
        <v>125</v>
      </c>
      <c r="E15" s="190" t="str">
        <f>VLOOKUP(D15,Справочники!$A:$B,2,FALSE)</f>
        <v>Общепроизводственные</v>
      </c>
      <c r="F15" s="207">
        <f>SUM(F16:F19)</f>
        <v>0</v>
      </c>
      <c r="G15" s="198" t="s">
        <v>382</v>
      </c>
      <c r="H15" s="198" t="s">
        <v>382</v>
      </c>
      <c r="I15" s="198" t="s">
        <v>382</v>
      </c>
      <c r="J15" s="199" t="s">
        <v>382</v>
      </c>
    </row>
    <row r="16" spans="1:11" ht="25.5" x14ac:dyDescent="0.2">
      <c r="A16" s="42" t="str">
        <f t="shared" si="1"/>
        <v>Ц_32.1</v>
      </c>
      <c r="B16" s="184" t="str">
        <f t="shared" si="2"/>
        <v>Ц_3ПП_2</v>
      </c>
      <c r="C16" s="42" t="str">
        <f t="shared" si="5"/>
        <v>Ц_3</v>
      </c>
      <c r="D16" s="99" t="s">
        <v>84</v>
      </c>
      <c r="E16" s="191" t="str">
        <f>VLOOKUP(D16,Справочники!$A:$B,2,FALSE)</f>
        <v>Амортизация оборудования</v>
      </c>
      <c r="F16" s="131"/>
      <c r="G16" s="169" t="s">
        <v>390</v>
      </c>
      <c r="H16" s="191" t="str">
        <f>VLOOKUP(G16,'Уровень деятельности'!B$2:D$22,2,FALSE)</f>
        <v>Нормативное время выполения заказов</v>
      </c>
      <c r="I16" s="202">
        <f>SUMIF('Уровень деятельности'!A$1:A$50,B16,'Уровень деятельности'!D$1:D$50)</f>
        <v>600</v>
      </c>
      <c r="J16" s="203">
        <f t="shared" si="3"/>
        <v>0</v>
      </c>
    </row>
    <row r="17" spans="1:10" x14ac:dyDescent="0.2">
      <c r="A17" s="42" t="str">
        <f t="shared" si="1"/>
        <v>Ц_32.2</v>
      </c>
      <c r="B17" s="184" t="str">
        <f t="shared" si="2"/>
        <v>Ц_3ПП_3</v>
      </c>
      <c r="C17" s="42" t="str">
        <f t="shared" si="5"/>
        <v>Ц_3</v>
      </c>
      <c r="D17" s="99" t="s">
        <v>87</v>
      </c>
      <c r="E17" s="191" t="str">
        <f>VLOOKUP(D17,Справочники!$A:$B,2,FALSE)</f>
        <v>Вспомогательные материалы</v>
      </c>
      <c r="F17" s="131"/>
      <c r="G17" s="169" t="s">
        <v>391</v>
      </c>
      <c r="H17" s="191" t="str">
        <f>VLOOKUP(G17,'Уровень деятельности'!B$2:D$22,2,FALSE)</f>
        <v>Количество краскопрогонов</v>
      </c>
      <c r="I17" s="202">
        <f>SUMIF('Уровень деятельности'!A$1:A$50,B17,'Уровень деятельности'!D$1:D$50)</f>
        <v>22000</v>
      </c>
      <c r="J17" s="203">
        <f t="shared" si="3"/>
        <v>0</v>
      </c>
    </row>
    <row r="18" spans="1:10" x14ac:dyDescent="0.2">
      <c r="A18" s="42" t="str">
        <f t="shared" si="1"/>
        <v>Ц_32.3</v>
      </c>
      <c r="B18" s="184" t="str">
        <f t="shared" si="2"/>
        <v>Ц_3ПП_3</v>
      </c>
      <c r="C18" s="42" t="str">
        <f t="shared" si="5"/>
        <v>Ц_3</v>
      </c>
      <c r="D18" s="99" t="s">
        <v>175</v>
      </c>
      <c r="E18" s="191" t="str">
        <f>VLOOKUP(D18,Справочники!$A:$B,2,FALSE)</f>
        <v>Запчасти для ремонта оборудования</v>
      </c>
      <c r="F18" s="131"/>
      <c r="G18" s="169" t="s">
        <v>391</v>
      </c>
      <c r="H18" s="191" t="str">
        <f>VLOOKUP(G18,'Уровень деятельности'!B$2:D$22,2,FALSE)</f>
        <v>Количество краскопрогонов</v>
      </c>
      <c r="I18" s="202">
        <f>SUMIF('Уровень деятельности'!A$1:A$50,B18,'Уровень деятельности'!D$1:D$50)</f>
        <v>22000</v>
      </c>
      <c r="J18" s="203">
        <f t="shared" si="3"/>
        <v>0</v>
      </c>
    </row>
    <row r="19" spans="1:10" x14ac:dyDescent="0.2">
      <c r="A19" s="42" t="str">
        <f t="shared" si="1"/>
        <v>Ц_32.4</v>
      </c>
      <c r="B19" s="184" t="str">
        <f t="shared" si="2"/>
        <v>Ц_3ПП_3</v>
      </c>
      <c r="C19" s="42" t="str">
        <f t="shared" si="5"/>
        <v>Ц_3</v>
      </c>
      <c r="D19" s="99" t="s">
        <v>176</v>
      </c>
      <c r="E19" s="191" t="str">
        <f>VLOOKUP(D19,Справочники!$A:$B,2,FALSE)</f>
        <v>Услуги стор орг-ий по рем и обслуж оборуд-я</v>
      </c>
      <c r="F19" s="131"/>
      <c r="G19" s="169" t="s">
        <v>391</v>
      </c>
      <c r="H19" s="191" t="str">
        <f>VLOOKUP(G19,'Уровень деятельности'!B$2:D$22,2,FALSE)</f>
        <v>Количество краскопрогонов</v>
      </c>
      <c r="I19" s="202">
        <f>SUMIF('Уровень деятельности'!A$1:A$50,B19,'Уровень деятельности'!D$1:D$50)</f>
        <v>22000</v>
      </c>
      <c r="J19" s="203">
        <f t="shared" si="3"/>
        <v>0</v>
      </c>
    </row>
    <row r="20" spans="1:10" s="42" customFormat="1" x14ac:dyDescent="0.2">
      <c r="A20" s="42" t="str">
        <f t="shared" si="1"/>
        <v>Ц_4Ц_4</v>
      </c>
      <c r="B20" s="184" t="str">
        <f t="shared" si="2"/>
        <v>Ц_4</v>
      </c>
      <c r="C20" s="42" t="str">
        <f t="shared" ref="C20:C25" si="6">D$20</f>
        <v>Ц_4</v>
      </c>
      <c r="D20" s="187" t="s">
        <v>193</v>
      </c>
      <c r="E20" s="188" t="str">
        <f>VLOOKUP(D20,Справочники!$A:$B,2,FALSE)</f>
        <v>Печатная машина Роланд 705 1</v>
      </c>
      <c r="F20" s="111"/>
      <c r="G20" s="189"/>
      <c r="H20" s="188"/>
      <c r="I20" s="200"/>
      <c r="J20" s="201"/>
    </row>
    <row r="21" spans="1:10" x14ac:dyDescent="0.2">
      <c r="A21" s="42" t="str">
        <f t="shared" si="1"/>
        <v>Ц_42</v>
      </c>
      <c r="B21" s="184" t="str">
        <f t="shared" si="2"/>
        <v>Ц_4-</v>
      </c>
      <c r="C21" s="42" t="str">
        <f t="shared" si="6"/>
        <v>Ц_4</v>
      </c>
      <c r="D21" s="99" t="s">
        <v>125</v>
      </c>
      <c r="E21" s="190" t="str">
        <f>VLOOKUP(D21,Справочники!$A:$B,2,FALSE)</f>
        <v>Общепроизводственные</v>
      </c>
      <c r="F21" s="207">
        <f>SUM(F22:F25)</f>
        <v>0</v>
      </c>
      <c r="G21" s="198" t="s">
        <v>382</v>
      </c>
      <c r="H21" s="198" t="s">
        <v>382</v>
      </c>
      <c r="I21" s="198" t="s">
        <v>382</v>
      </c>
      <c r="J21" s="199" t="s">
        <v>382</v>
      </c>
    </row>
    <row r="22" spans="1:10" ht="25.5" x14ac:dyDescent="0.2">
      <c r="A22" s="42" t="str">
        <f t="shared" si="1"/>
        <v>Ц_42.1</v>
      </c>
      <c r="B22" s="184" t="str">
        <f t="shared" si="2"/>
        <v>Ц_4ПП_2</v>
      </c>
      <c r="C22" s="42" t="str">
        <f t="shared" si="6"/>
        <v>Ц_4</v>
      </c>
      <c r="D22" s="99" t="s">
        <v>84</v>
      </c>
      <c r="E22" s="191" t="str">
        <f>VLOOKUP(D22,Справочники!$A:$B,2,FALSE)</f>
        <v>Амортизация оборудования</v>
      </c>
      <c r="F22" s="131"/>
      <c r="G22" s="169" t="s">
        <v>390</v>
      </c>
      <c r="H22" s="191" t="str">
        <f>VLOOKUP(G22,'Уровень деятельности'!B$2:D$22,2,FALSE)</f>
        <v>Нормативное время выполения заказов</v>
      </c>
      <c r="I22" s="202">
        <f>SUMIF('Уровень деятельности'!A$1:A$50,B22,'Уровень деятельности'!D$1:D$50)</f>
        <v>650</v>
      </c>
      <c r="J22" s="203">
        <f t="shared" si="3"/>
        <v>0</v>
      </c>
    </row>
    <row r="23" spans="1:10" x14ac:dyDescent="0.2">
      <c r="A23" s="42" t="str">
        <f t="shared" si="1"/>
        <v>Ц_42.2</v>
      </c>
      <c r="B23" s="184" t="str">
        <f t="shared" si="2"/>
        <v>Ц_4ПП_3</v>
      </c>
      <c r="C23" s="42" t="str">
        <f t="shared" si="6"/>
        <v>Ц_4</v>
      </c>
      <c r="D23" s="99" t="s">
        <v>87</v>
      </c>
      <c r="E23" s="191" t="str">
        <f>VLOOKUP(D23,Справочники!$A:$B,2,FALSE)</f>
        <v>Вспомогательные материалы</v>
      </c>
      <c r="F23" s="131"/>
      <c r="G23" s="169" t="s">
        <v>391</v>
      </c>
      <c r="H23" s="191" t="str">
        <f>VLOOKUP(G23,'Уровень деятельности'!B$2:D$22,2,FALSE)</f>
        <v>Количество краскопрогонов</v>
      </c>
      <c r="I23" s="202">
        <f>SUMIF('Уровень деятельности'!A$1:A$50,B23,'Уровень деятельности'!D$1:D$50)</f>
        <v>23000</v>
      </c>
      <c r="J23" s="203">
        <f t="shared" si="3"/>
        <v>0</v>
      </c>
    </row>
    <row r="24" spans="1:10" x14ac:dyDescent="0.2">
      <c r="A24" s="42" t="str">
        <f t="shared" si="1"/>
        <v>Ц_42.3</v>
      </c>
      <c r="B24" s="184" t="str">
        <f t="shared" si="2"/>
        <v>Ц_4ПП_3</v>
      </c>
      <c r="C24" s="42" t="str">
        <f t="shared" si="6"/>
        <v>Ц_4</v>
      </c>
      <c r="D24" s="99" t="s">
        <v>175</v>
      </c>
      <c r="E24" s="191" t="str">
        <f>VLOOKUP(D24,Справочники!$A:$B,2,FALSE)</f>
        <v>Запчасти для ремонта оборудования</v>
      </c>
      <c r="F24" s="131"/>
      <c r="G24" s="169" t="s">
        <v>391</v>
      </c>
      <c r="H24" s="191" t="str">
        <f>VLOOKUP(G24,'Уровень деятельности'!B$2:D$22,2,FALSE)</f>
        <v>Количество краскопрогонов</v>
      </c>
      <c r="I24" s="202">
        <f>SUMIF('Уровень деятельности'!A$1:A$50,B24,'Уровень деятельности'!D$1:D$50)</f>
        <v>23000</v>
      </c>
      <c r="J24" s="203">
        <f t="shared" si="3"/>
        <v>0</v>
      </c>
    </row>
    <row r="25" spans="1:10" x14ac:dyDescent="0.2">
      <c r="A25" s="42" t="str">
        <f t="shared" si="1"/>
        <v>Ц_42.4</v>
      </c>
      <c r="B25" s="184" t="str">
        <f t="shared" si="2"/>
        <v>Ц_4ПП_3</v>
      </c>
      <c r="C25" s="42" t="str">
        <f t="shared" si="6"/>
        <v>Ц_4</v>
      </c>
      <c r="D25" s="99" t="s">
        <v>176</v>
      </c>
      <c r="E25" s="191" t="str">
        <f>VLOOKUP(D25,Справочники!$A:$B,2,FALSE)</f>
        <v>Услуги стор орг-ий по рем и обслуж оборуд-я</v>
      </c>
      <c r="F25" s="131"/>
      <c r="G25" s="169" t="s">
        <v>391</v>
      </c>
      <c r="H25" s="191" t="str">
        <f>VLOOKUP(G25,'Уровень деятельности'!B$2:D$22,2,FALSE)</f>
        <v>Количество краскопрогонов</v>
      </c>
      <c r="I25" s="202">
        <f>SUMIF('Уровень деятельности'!A$1:A$50,B25,'Уровень деятельности'!D$1:D$50)</f>
        <v>23000</v>
      </c>
      <c r="J25" s="203">
        <f t="shared" si="3"/>
        <v>0</v>
      </c>
    </row>
    <row r="26" spans="1:10" s="42" customFormat="1" x14ac:dyDescent="0.2">
      <c r="A26" s="42" t="str">
        <f t="shared" si="1"/>
        <v>Ц_5Ц_5</v>
      </c>
      <c r="B26" s="184" t="str">
        <f t="shared" si="2"/>
        <v>Ц_5</v>
      </c>
      <c r="C26" s="42" t="str">
        <f t="shared" ref="C26:C31" si="7">D$26</f>
        <v>Ц_5</v>
      </c>
      <c r="D26" s="187" t="s">
        <v>194</v>
      </c>
      <c r="E26" s="188" t="str">
        <f>VLOOKUP(D26,Справочники!$A:$B,2,FALSE)</f>
        <v>Печатная машина Роланд 705 2</v>
      </c>
      <c r="F26" s="111"/>
      <c r="G26" s="189"/>
      <c r="H26" s="188"/>
      <c r="I26" s="200"/>
      <c r="J26" s="201"/>
    </row>
    <row r="27" spans="1:10" x14ac:dyDescent="0.2">
      <c r="A27" s="42" t="str">
        <f t="shared" si="1"/>
        <v>Ц_52</v>
      </c>
      <c r="B27" s="184" t="str">
        <f t="shared" si="2"/>
        <v>Ц_5-</v>
      </c>
      <c r="C27" s="42" t="str">
        <f t="shared" si="7"/>
        <v>Ц_5</v>
      </c>
      <c r="D27" s="99" t="s">
        <v>125</v>
      </c>
      <c r="E27" s="190" t="str">
        <f>VLOOKUP(D27,Справочники!$A:$B,2,FALSE)</f>
        <v>Общепроизводственные</v>
      </c>
      <c r="F27" s="207">
        <f>SUM(F28:F31)</f>
        <v>0</v>
      </c>
      <c r="G27" s="198" t="s">
        <v>382</v>
      </c>
      <c r="H27" s="198" t="s">
        <v>382</v>
      </c>
      <c r="I27" s="198" t="s">
        <v>382</v>
      </c>
      <c r="J27" s="199" t="s">
        <v>382</v>
      </c>
    </row>
    <row r="28" spans="1:10" ht="25.5" x14ac:dyDescent="0.2">
      <c r="A28" s="42" t="str">
        <f t="shared" si="1"/>
        <v>Ц_52.1</v>
      </c>
      <c r="B28" s="184" t="str">
        <f t="shared" si="2"/>
        <v>Ц_5ПП_2</v>
      </c>
      <c r="C28" s="42" t="str">
        <f t="shared" si="7"/>
        <v>Ц_5</v>
      </c>
      <c r="D28" s="99" t="s">
        <v>84</v>
      </c>
      <c r="E28" s="191" t="str">
        <f>VLOOKUP(D28,Справочники!$A:$B,2,FALSE)</f>
        <v>Амортизация оборудования</v>
      </c>
      <c r="F28" s="131"/>
      <c r="G28" s="169" t="s">
        <v>390</v>
      </c>
      <c r="H28" s="191" t="str">
        <f>VLOOKUP(G28,'Уровень деятельности'!B$2:D$22,2,FALSE)</f>
        <v>Нормативное время выполения заказов</v>
      </c>
      <c r="I28" s="202">
        <f>SUMIF('Уровень деятельности'!A$1:A$50,B28,'Уровень деятельности'!D$1:D$50)</f>
        <v>700</v>
      </c>
      <c r="J28" s="203">
        <f t="shared" si="3"/>
        <v>0</v>
      </c>
    </row>
    <row r="29" spans="1:10" x14ac:dyDescent="0.2">
      <c r="A29" s="42" t="str">
        <f t="shared" si="1"/>
        <v>Ц_52.2</v>
      </c>
      <c r="B29" s="184" t="str">
        <f t="shared" si="2"/>
        <v>Ц_5ПП_3</v>
      </c>
      <c r="C29" s="42" t="str">
        <f t="shared" si="7"/>
        <v>Ц_5</v>
      </c>
      <c r="D29" s="99" t="s">
        <v>87</v>
      </c>
      <c r="E29" s="191" t="str">
        <f>VLOOKUP(D29,Справочники!$A:$B,2,FALSE)</f>
        <v>Вспомогательные материалы</v>
      </c>
      <c r="F29" s="131"/>
      <c r="G29" s="169" t="s">
        <v>391</v>
      </c>
      <c r="H29" s="191" t="str">
        <f>VLOOKUP(G29,'Уровень деятельности'!B$2:D$22,2,FALSE)</f>
        <v>Количество краскопрогонов</v>
      </c>
      <c r="I29" s="202">
        <f>SUMIF('Уровень деятельности'!A$1:A$50,B29,'Уровень деятельности'!D$1:D$50)</f>
        <v>24000</v>
      </c>
      <c r="J29" s="203">
        <f t="shared" si="3"/>
        <v>0</v>
      </c>
    </row>
    <row r="30" spans="1:10" x14ac:dyDescent="0.2">
      <c r="A30" s="42" t="str">
        <f t="shared" si="1"/>
        <v>Ц_52.3</v>
      </c>
      <c r="B30" s="184" t="str">
        <f t="shared" si="2"/>
        <v>Ц_5ПП_3</v>
      </c>
      <c r="C30" s="42" t="str">
        <f t="shared" si="7"/>
        <v>Ц_5</v>
      </c>
      <c r="D30" s="99" t="s">
        <v>175</v>
      </c>
      <c r="E30" s="191" t="str">
        <f>VLOOKUP(D30,Справочники!$A:$B,2,FALSE)</f>
        <v>Запчасти для ремонта оборудования</v>
      </c>
      <c r="F30" s="131"/>
      <c r="G30" s="169" t="s">
        <v>391</v>
      </c>
      <c r="H30" s="191" t="str">
        <f>VLOOKUP(G30,'Уровень деятельности'!B$2:D$22,2,FALSE)</f>
        <v>Количество краскопрогонов</v>
      </c>
      <c r="I30" s="202">
        <f>SUMIF('Уровень деятельности'!A$1:A$50,B30,'Уровень деятельности'!D$1:D$50)</f>
        <v>24000</v>
      </c>
      <c r="J30" s="203">
        <f t="shared" si="3"/>
        <v>0</v>
      </c>
    </row>
    <row r="31" spans="1:10" x14ac:dyDescent="0.2">
      <c r="A31" s="42" t="str">
        <f t="shared" si="1"/>
        <v>Ц_52.4</v>
      </c>
      <c r="B31" s="184" t="str">
        <f t="shared" si="2"/>
        <v>Ц_5ПП_3</v>
      </c>
      <c r="C31" s="42" t="str">
        <f t="shared" si="7"/>
        <v>Ц_5</v>
      </c>
      <c r="D31" s="99" t="s">
        <v>176</v>
      </c>
      <c r="E31" s="191" t="str">
        <f>VLOOKUP(D31,Справочники!$A:$B,2,FALSE)</f>
        <v>Услуги стор орг-ий по рем и обслуж оборуд-я</v>
      </c>
      <c r="F31" s="131"/>
      <c r="G31" s="169" t="s">
        <v>391</v>
      </c>
      <c r="H31" s="191" t="str">
        <f>VLOOKUP(G31,'Уровень деятельности'!B$2:D$22,2,FALSE)</f>
        <v>Количество краскопрогонов</v>
      </c>
      <c r="I31" s="202">
        <f>SUMIF('Уровень деятельности'!A$1:A$50,B31,'Уровень деятельности'!D$1:D$50)</f>
        <v>24000</v>
      </c>
      <c r="J31" s="203">
        <f t="shared" si="3"/>
        <v>0</v>
      </c>
    </row>
    <row r="32" spans="1:10" s="42" customFormat="1" x14ac:dyDescent="0.2">
      <c r="A32" s="42" t="str">
        <f t="shared" si="1"/>
        <v>Ц_6Ц_6</v>
      </c>
      <c r="B32" s="184" t="str">
        <f t="shared" si="2"/>
        <v>Ц_6</v>
      </c>
      <c r="C32" s="42" t="str">
        <f t="shared" ref="C32:C37" si="8">D$32</f>
        <v>Ц_6</v>
      </c>
      <c r="D32" s="187" t="s">
        <v>195</v>
      </c>
      <c r="E32" s="188" t="str">
        <f>VLOOKUP(D32,Справочники!$A:$B,2,FALSE)</f>
        <v>Печатная машина Роланд 204</v>
      </c>
      <c r="F32" s="111"/>
      <c r="G32" s="189"/>
      <c r="H32" s="188"/>
      <c r="I32" s="200"/>
      <c r="J32" s="201"/>
    </row>
    <row r="33" spans="1:10" x14ac:dyDescent="0.2">
      <c r="A33" s="42" t="str">
        <f t="shared" si="1"/>
        <v>Ц_62</v>
      </c>
      <c r="B33" s="184" t="str">
        <f t="shared" si="2"/>
        <v>Ц_6-</v>
      </c>
      <c r="C33" s="42" t="str">
        <f t="shared" si="8"/>
        <v>Ц_6</v>
      </c>
      <c r="D33" s="99" t="s">
        <v>125</v>
      </c>
      <c r="E33" s="190" t="str">
        <f>VLOOKUP(D33,Справочники!$A:$B,2,FALSE)</f>
        <v>Общепроизводственные</v>
      </c>
      <c r="F33" s="207">
        <f>SUM(F34:F37)</f>
        <v>0</v>
      </c>
      <c r="G33" s="198" t="s">
        <v>382</v>
      </c>
      <c r="H33" s="198" t="s">
        <v>382</v>
      </c>
      <c r="I33" s="198" t="s">
        <v>382</v>
      </c>
      <c r="J33" s="199" t="s">
        <v>382</v>
      </c>
    </row>
    <row r="34" spans="1:10" ht="25.5" x14ac:dyDescent="0.2">
      <c r="A34" s="42" t="str">
        <f t="shared" si="1"/>
        <v>Ц_62.1</v>
      </c>
      <c r="B34" s="184" t="str">
        <f t="shared" si="2"/>
        <v>Ц_6ПП_2</v>
      </c>
      <c r="C34" s="42" t="str">
        <f t="shared" si="8"/>
        <v>Ц_6</v>
      </c>
      <c r="D34" s="99" t="s">
        <v>84</v>
      </c>
      <c r="E34" s="191" t="str">
        <f>VLOOKUP(D34,Справочники!$A:$B,2,FALSE)</f>
        <v>Амортизация оборудования</v>
      </c>
      <c r="F34" s="131"/>
      <c r="G34" s="169" t="s">
        <v>390</v>
      </c>
      <c r="H34" s="191" t="str">
        <f>VLOOKUP(G34,'Уровень деятельности'!B$2:D$22,2,FALSE)</f>
        <v>Нормативное время выполения заказов</v>
      </c>
      <c r="I34" s="202">
        <f>SUMIF('Уровень деятельности'!A$1:A$50,B34,'Уровень деятельности'!D$1:D$50)</f>
        <v>750</v>
      </c>
      <c r="J34" s="203">
        <f t="shared" si="3"/>
        <v>0</v>
      </c>
    </row>
    <row r="35" spans="1:10" x14ac:dyDescent="0.2">
      <c r="A35" s="42" t="str">
        <f t="shared" si="1"/>
        <v>Ц_62.2</v>
      </c>
      <c r="B35" s="184" t="str">
        <f t="shared" si="2"/>
        <v>Ц_6ПП_3</v>
      </c>
      <c r="C35" s="42" t="str">
        <f t="shared" si="8"/>
        <v>Ц_6</v>
      </c>
      <c r="D35" s="99" t="s">
        <v>87</v>
      </c>
      <c r="E35" s="191" t="str">
        <f>VLOOKUP(D35,Справочники!$A:$B,2,FALSE)</f>
        <v>Вспомогательные материалы</v>
      </c>
      <c r="F35" s="131"/>
      <c r="G35" s="169" t="s">
        <v>391</v>
      </c>
      <c r="H35" s="191" t="str">
        <f>VLOOKUP(G35,'Уровень деятельности'!B$2:D$22,2,FALSE)</f>
        <v>Количество краскопрогонов</v>
      </c>
      <c r="I35" s="202">
        <f>SUMIF('Уровень деятельности'!A$1:A$50,B35,'Уровень деятельности'!D$1:D$50)</f>
        <v>25000</v>
      </c>
      <c r="J35" s="203">
        <f t="shared" si="3"/>
        <v>0</v>
      </c>
    </row>
    <row r="36" spans="1:10" x14ac:dyDescent="0.2">
      <c r="A36" s="42" t="str">
        <f t="shared" si="1"/>
        <v>Ц_62.3</v>
      </c>
      <c r="B36" s="184" t="str">
        <f t="shared" ref="B36:B67" si="9">CONCATENATE(C36,G36)</f>
        <v>Ц_6ПП_3</v>
      </c>
      <c r="C36" s="42" t="str">
        <f t="shared" si="8"/>
        <v>Ц_6</v>
      </c>
      <c r="D36" s="99" t="s">
        <v>175</v>
      </c>
      <c r="E36" s="191" t="str">
        <f>VLOOKUP(D36,Справочники!$A:$B,2,FALSE)</f>
        <v>Запчасти для ремонта оборудования</v>
      </c>
      <c r="F36" s="131"/>
      <c r="G36" s="169" t="s">
        <v>391</v>
      </c>
      <c r="H36" s="191" t="str">
        <f>VLOOKUP(G36,'Уровень деятельности'!B$2:D$22,2,FALSE)</f>
        <v>Количество краскопрогонов</v>
      </c>
      <c r="I36" s="202">
        <f>SUMIF('Уровень деятельности'!A$1:A$50,B36,'Уровень деятельности'!D$1:D$50)</f>
        <v>25000</v>
      </c>
      <c r="J36" s="203">
        <f t="shared" si="3"/>
        <v>0</v>
      </c>
    </row>
    <row r="37" spans="1:10" x14ac:dyDescent="0.2">
      <c r="A37" s="42" t="str">
        <f t="shared" si="1"/>
        <v>Ц_62.4</v>
      </c>
      <c r="B37" s="184" t="str">
        <f t="shared" si="9"/>
        <v>Ц_6ПП_3</v>
      </c>
      <c r="C37" s="42" t="str">
        <f t="shared" si="8"/>
        <v>Ц_6</v>
      </c>
      <c r="D37" s="99" t="s">
        <v>176</v>
      </c>
      <c r="E37" s="191" t="str">
        <f>VLOOKUP(D37,Справочники!$A:$B,2,FALSE)</f>
        <v>Услуги стор орг-ий по рем и обслуж оборуд-я</v>
      </c>
      <c r="F37" s="131"/>
      <c r="G37" s="169" t="s">
        <v>391</v>
      </c>
      <c r="H37" s="191" t="str">
        <f>VLOOKUP(G37,'Уровень деятельности'!B$2:D$22,2,FALSE)</f>
        <v>Количество краскопрогонов</v>
      </c>
      <c r="I37" s="202">
        <f>SUMIF('Уровень деятельности'!A$1:A$50,B37,'Уровень деятельности'!D$1:D$50)</f>
        <v>25000</v>
      </c>
      <c r="J37" s="203">
        <f t="shared" si="3"/>
        <v>0</v>
      </c>
    </row>
    <row r="38" spans="1:10" s="42" customFormat="1" x14ac:dyDescent="0.2">
      <c r="A38" s="42" t="str">
        <f t="shared" si="1"/>
        <v>Ц_7Ц_7</v>
      </c>
      <c r="B38" s="184" t="str">
        <f t="shared" si="9"/>
        <v>Ц_7</v>
      </c>
      <c r="C38" s="42" t="str">
        <f t="shared" ref="C38:C43" si="10">D$38</f>
        <v>Ц_7</v>
      </c>
      <c r="D38" s="187" t="s">
        <v>196</v>
      </c>
      <c r="E38" s="188" t="str">
        <f>VLOOKUP(D38,Справочники!$A:$B,2,FALSE)</f>
        <v>Ножевая резка бумаги</v>
      </c>
      <c r="F38" s="111"/>
      <c r="G38" s="189"/>
      <c r="H38" s="188"/>
      <c r="I38" s="200"/>
      <c r="J38" s="201"/>
    </row>
    <row r="39" spans="1:10" x14ac:dyDescent="0.2">
      <c r="A39" s="42" t="str">
        <f t="shared" si="1"/>
        <v>Ц_72</v>
      </c>
      <c r="B39" s="184" t="str">
        <f t="shared" si="9"/>
        <v>Ц_7-</v>
      </c>
      <c r="C39" s="42" t="str">
        <f t="shared" si="10"/>
        <v>Ц_7</v>
      </c>
      <c r="D39" s="99" t="s">
        <v>125</v>
      </c>
      <c r="E39" s="190" t="str">
        <f>VLOOKUP(D39,Справочники!$A:$B,2,FALSE)</f>
        <v>Общепроизводственные</v>
      </c>
      <c r="F39" s="207">
        <f>SUM(F40:F43)</f>
        <v>30000</v>
      </c>
      <c r="G39" s="198" t="s">
        <v>382</v>
      </c>
      <c r="H39" s="198" t="s">
        <v>382</v>
      </c>
      <c r="I39" s="198" t="s">
        <v>382</v>
      </c>
      <c r="J39" s="199" t="s">
        <v>382</v>
      </c>
    </row>
    <row r="40" spans="1:10" ht="25.5" x14ac:dyDescent="0.2">
      <c r="A40" s="42" t="str">
        <f t="shared" si="1"/>
        <v>Ц_72.1</v>
      </c>
      <c r="B40" s="184" t="str">
        <f t="shared" si="9"/>
        <v>Ц_7ПП_2</v>
      </c>
      <c r="C40" s="42" t="str">
        <f t="shared" si="10"/>
        <v>Ц_7</v>
      </c>
      <c r="D40" s="99" t="s">
        <v>84</v>
      </c>
      <c r="E40" s="191" t="str">
        <f>VLOOKUP(D40,Справочники!$A:$B,2,FALSE)</f>
        <v>Амортизация оборудования</v>
      </c>
      <c r="F40" s="131"/>
      <c r="G40" s="169" t="s">
        <v>390</v>
      </c>
      <c r="H40" s="191" t="str">
        <f>VLOOKUP(G40,'Уровень деятельности'!B$2:D$22,2,FALSE)</f>
        <v>Нормативное время выполения заказов</v>
      </c>
      <c r="I40" s="202">
        <f>SUMIF('Уровень деятельности'!A$1:A$50,B40,'Уровень деятельности'!D$1:D$50)</f>
        <v>800</v>
      </c>
      <c r="J40" s="203">
        <f t="shared" si="3"/>
        <v>0</v>
      </c>
    </row>
    <row r="41" spans="1:10" ht="25.5" x14ac:dyDescent="0.2">
      <c r="A41" s="42" t="str">
        <f t="shared" si="1"/>
        <v>Ц_72.2</v>
      </c>
      <c r="B41" s="184" t="str">
        <f t="shared" si="9"/>
        <v>Ц_7ПП_2</v>
      </c>
      <c r="C41" s="42" t="str">
        <f t="shared" si="10"/>
        <v>Ц_7</v>
      </c>
      <c r="D41" s="99" t="s">
        <v>87</v>
      </c>
      <c r="E41" s="191" t="str">
        <f>VLOOKUP(D41,Справочники!$A:$B,2,FALSE)</f>
        <v>Вспомогательные материалы</v>
      </c>
      <c r="F41" s="131"/>
      <c r="G41" s="169" t="s">
        <v>390</v>
      </c>
      <c r="H41" s="191" t="str">
        <f>VLOOKUP(G41,'Уровень деятельности'!B$2:D$22,2,FALSE)</f>
        <v>Нормативное время выполения заказов</v>
      </c>
      <c r="I41" s="202">
        <f>SUMIF('Уровень деятельности'!A$1:A$50,B41,'Уровень деятельности'!D$1:D$50)</f>
        <v>800</v>
      </c>
      <c r="J41" s="203">
        <f t="shared" si="3"/>
        <v>0</v>
      </c>
    </row>
    <row r="42" spans="1:10" ht="25.5" x14ac:dyDescent="0.2">
      <c r="A42" s="42" t="str">
        <f t="shared" si="1"/>
        <v>Ц_72.3</v>
      </c>
      <c r="B42" s="184" t="str">
        <f t="shared" si="9"/>
        <v>Ц_7ПП_2</v>
      </c>
      <c r="C42" s="42" t="str">
        <f t="shared" si="10"/>
        <v>Ц_7</v>
      </c>
      <c r="D42" s="99" t="s">
        <v>175</v>
      </c>
      <c r="E42" s="191" t="str">
        <f>VLOOKUP(D42,Справочники!$A:$B,2,FALSE)</f>
        <v>Запчасти для ремонта оборудования</v>
      </c>
      <c r="F42" s="131">
        <v>30000</v>
      </c>
      <c r="G42" s="169" t="s">
        <v>390</v>
      </c>
      <c r="H42" s="191" t="str">
        <f>VLOOKUP(G42,'Уровень деятельности'!B$2:D$22,2,FALSE)</f>
        <v>Нормативное время выполения заказов</v>
      </c>
      <c r="I42" s="202">
        <f>SUMIF('Уровень деятельности'!A$1:A$50,B42,'Уровень деятельности'!D$1:D$50)</f>
        <v>800</v>
      </c>
      <c r="J42" s="203">
        <f t="shared" si="3"/>
        <v>37.5</v>
      </c>
    </row>
    <row r="43" spans="1:10" ht="25.5" x14ac:dyDescent="0.2">
      <c r="A43" s="42" t="str">
        <f t="shared" si="1"/>
        <v>Ц_72.4</v>
      </c>
      <c r="B43" s="184" t="str">
        <f t="shared" si="9"/>
        <v>Ц_7ПП_2</v>
      </c>
      <c r="C43" s="42" t="str">
        <f t="shared" si="10"/>
        <v>Ц_7</v>
      </c>
      <c r="D43" s="99" t="s">
        <v>176</v>
      </c>
      <c r="E43" s="191" t="str">
        <f>VLOOKUP(D43,Справочники!$A:$B,2,FALSE)</f>
        <v>Услуги стор орг-ий по рем и обслуж оборуд-я</v>
      </c>
      <c r="F43" s="131"/>
      <c r="G43" s="169" t="s">
        <v>390</v>
      </c>
      <c r="H43" s="191" t="str">
        <f>VLOOKUP(G43,'Уровень деятельности'!B$2:D$22,2,FALSE)</f>
        <v>Нормативное время выполения заказов</v>
      </c>
      <c r="I43" s="202">
        <f>SUMIF('Уровень деятельности'!A$1:A$50,B43,'Уровень деятельности'!D$1:D$50)</f>
        <v>800</v>
      </c>
      <c r="J43" s="203">
        <f t="shared" si="3"/>
        <v>0</v>
      </c>
    </row>
    <row r="44" spans="1:10" s="42" customFormat="1" x14ac:dyDescent="0.2">
      <c r="A44" s="42" t="str">
        <f t="shared" si="1"/>
        <v>Ц_8Ц_8</v>
      </c>
      <c r="B44" s="184" t="str">
        <f t="shared" si="9"/>
        <v>Ц_8</v>
      </c>
      <c r="C44" s="42" t="str">
        <f t="shared" ref="C44:C49" si="11">D$44</f>
        <v>Ц_8</v>
      </c>
      <c r="D44" s="187" t="s">
        <v>197</v>
      </c>
      <c r="E44" s="188" t="str">
        <f>VLOOKUP(D44,Справочники!$A:$B,2,FALSE)</f>
        <v>Высечка</v>
      </c>
      <c r="F44" s="111"/>
      <c r="G44" s="189"/>
      <c r="H44" s="188"/>
      <c r="I44" s="200"/>
      <c r="J44" s="201"/>
    </row>
    <row r="45" spans="1:10" x14ac:dyDescent="0.2">
      <c r="A45" s="42" t="str">
        <f t="shared" si="1"/>
        <v>Ц_82</v>
      </c>
      <c r="B45" s="184" t="str">
        <f t="shared" si="9"/>
        <v>Ц_8-</v>
      </c>
      <c r="C45" s="42" t="str">
        <f t="shared" si="11"/>
        <v>Ц_8</v>
      </c>
      <c r="D45" s="99" t="s">
        <v>125</v>
      </c>
      <c r="E45" s="190" t="str">
        <f>VLOOKUP(D45,Справочники!$A:$B,2,FALSE)</f>
        <v>Общепроизводственные</v>
      </c>
      <c r="F45" s="207">
        <f>SUM(F46:F49)</f>
        <v>40000</v>
      </c>
      <c r="G45" s="198" t="s">
        <v>382</v>
      </c>
      <c r="H45" s="198" t="s">
        <v>382</v>
      </c>
      <c r="I45" s="198" t="s">
        <v>382</v>
      </c>
      <c r="J45" s="199" t="s">
        <v>382</v>
      </c>
    </row>
    <row r="46" spans="1:10" ht="25.5" x14ac:dyDescent="0.2">
      <c r="A46" s="42" t="str">
        <f t="shared" si="1"/>
        <v>Ц_82.1</v>
      </c>
      <c r="B46" s="184" t="str">
        <f t="shared" si="9"/>
        <v>Ц_8ПП_2</v>
      </c>
      <c r="C46" s="42" t="str">
        <f t="shared" si="11"/>
        <v>Ц_8</v>
      </c>
      <c r="D46" s="99" t="s">
        <v>84</v>
      </c>
      <c r="E46" s="191" t="str">
        <f>VLOOKUP(D46,Справочники!$A:$B,2,FALSE)</f>
        <v>Амортизация оборудования</v>
      </c>
      <c r="F46" s="131"/>
      <c r="G46" s="169" t="s">
        <v>390</v>
      </c>
      <c r="H46" s="191" t="str">
        <f>VLOOKUP(G46,'Уровень деятельности'!B$2:D$22,2,FALSE)</f>
        <v>Нормативное время выполения заказов</v>
      </c>
      <c r="I46" s="202">
        <f>SUMIF('Уровень деятельности'!A$1:A$50,B46,'Уровень деятельности'!D$1:D$50)</f>
        <v>850</v>
      </c>
      <c r="J46" s="203">
        <f t="shared" si="3"/>
        <v>0</v>
      </c>
    </row>
    <row r="47" spans="1:10" ht="25.5" x14ac:dyDescent="0.2">
      <c r="A47" s="42" t="str">
        <f t="shared" si="1"/>
        <v>Ц_82.2</v>
      </c>
      <c r="B47" s="184" t="str">
        <f t="shared" si="9"/>
        <v>Ц_8ПП_2</v>
      </c>
      <c r="C47" s="42" t="str">
        <f t="shared" si="11"/>
        <v>Ц_8</v>
      </c>
      <c r="D47" s="99" t="s">
        <v>87</v>
      </c>
      <c r="E47" s="191" t="str">
        <f>VLOOKUP(D47,Справочники!$A:$B,2,FALSE)</f>
        <v>Вспомогательные материалы</v>
      </c>
      <c r="F47" s="131"/>
      <c r="G47" s="169" t="s">
        <v>390</v>
      </c>
      <c r="H47" s="191" t="str">
        <f>VLOOKUP(G47,'Уровень деятельности'!B$2:D$22,2,FALSE)</f>
        <v>Нормативное время выполения заказов</v>
      </c>
      <c r="I47" s="202">
        <f>SUMIF('Уровень деятельности'!A$1:A$50,B47,'Уровень деятельности'!D$1:D$50)</f>
        <v>850</v>
      </c>
      <c r="J47" s="203">
        <f t="shared" si="3"/>
        <v>0</v>
      </c>
    </row>
    <row r="48" spans="1:10" ht="25.5" x14ac:dyDescent="0.2">
      <c r="A48" s="42" t="str">
        <f t="shared" si="1"/>
        <v>Ц_82.3</v>
      </c>
      <c r="B48" s="184" t="str">
        <f t="shared" si="9"/>
        <v>Ц_8ПП_2</v>
      </c>
      <c r="C48" s="42" t="str">
        <f t="shared" si="11"/>
        <v>Ц_8</v>
      </c>
      <c r="D48" s="99" t="s">
        <v>175</v>
      </c>
      <c r="E48" s="191" t="str">
        <f>VLOOKUP(D48,Справочники!$A:$B,2,FALSE)</f>
        <v>Запчасти для ремонта оборудования</v>
      </c>
      <c r="F48" s="131"/>
      <c r="G48" s="169" t="s">
        <v>390</v>
      </c>
      <c r="H48" s="191" t="str">
        <f>VLOOKUP(G48,'Уровень деятельности'!B$2:D$22,2,FALSE)</f>
        <v>Нормативное время выполения заказов</v>
      </c>
      <c r="I48" s="202">
        <f>SUMIF('Уровень деятельности'!A$1:A$50,B48,'Уровень деятельности'!D$1:D$50)</f>
        <v>850</v>
      </c>
      <c r="J48" s="203">
        <f t="shared" si="3"/>
        <v>0</v>
      </c>
    </row>
    <row r="49" spans="1:10" ht="25.5" x14ac:dyDescent="0.2">
      <c r="A49" s="42" t="str">
        <f t="shared" si="1"/>
        <v>Ц_82.4</v>
      </c>
      <c r="B49" s="184" t="str">
        <f t="shared" si="9"/>
        <v>Ц_8ПП_2</v>
      </c>
      <c r="C49" s="42" t="str">
        <f t="shared" si="11"/>
        <v>Ц_8</v>
      </c>
      <c r="D49" s="99" t="s">
        <v>176</v>
      </c>
      <c r="E49" s="191" t="str">
        <f>VLOOKUP(D49,Справочники!$A:$B,2,FALSE)</f>
        <v>Услуги стор орг-ий по рем и обслуж оборуд-я</v>
      </c>
      <c r="F49" s="131">
        <v>40000</v>
      </c>
      <c r="G49" s="169" t="s">
        <v>390</v>
      </c>
      <c r="H49" s="191" t="str">
        <f>VLOOKUP(G49,'Уровень деятельности'!B$2:D$22,2,FALSE)</f>
        <v>Нормативное время выполения заказов</v>
      </c>
      <c r="I49" s="202">
        <f>SUMIF('Уровень деятельности'!A$1:A$50,B49,'Уровень деятельности'!D$1:D$50)</f>
        <v>850</v>
      </c>
      <c r="J49" s="203">
        <f t="shared" si="3"/>
        <v>47.058823529411768</v>
      </c>
    </row>
    <row r="50" spans="1:10" s="42" customFormat="1" x14ac:dyDescent="0.2">
      <c r="A50" s="42" t="str">
        <f t="shared" si="1"/>
        <v>Ц_9Ц_9</v>
      </c>
      <c r="B50" s="184" t="str">
        <f t="shared" si="9"/>
        <v>Ц_9</v>
      </c>
      <c r="C50" s="42" t="str">
        <f t="shared" ref="C50:C55" si="12">D$50</f>
        <v>Ц_9</v>
      </c>
      <c r="D50" s="187" t="s">
        <v>198</v>
      </c>
      <c r="E50" s="188" t="str">
        <f>VLOOKUP(D50,Справочники!$A:$B,2,FALSE)</f>
        <v>Фальцовка</v>
      </c>
      <c r="F50" s="111"/>
      <c r="G50" s="189"/>
      <c r="H50" s="188"/>
      <c r="I50" s="200"/>
      <c r="J50" s="201"/>
    </row>
    <row r="51" spans="1:10" x14ac:dyDescent="0.2">
      <c r="A51" s="42" t="str">
        <f t="shared" si="1"/>
        <v>Ц_92</v>
      </c>
      <c r="B51" s="184" t="str">
        <f t="shared" si="9"/>
        <v>Ц_9-</v>
      </c>
      <c r="C51" s="42" t="str">
        <f t="shared" si="12"/>
        <v>Ц_9</v>
      </c>
      <c r="D51" s="99" t="s">
        <v>125</v>
      </c>
      <c r="E51" s="190" t="str">
        <f>VLOOKUP(D51,Справочники!$A:$B,2,FALSE)</f>
        <v>Общепроизводственные</v>
      </c>
      <c r="F51" s="207">
        <f>SUM(F52:F55)</f>
        <v>0</v>
      </c>
      <c r="G51" s="198" t="s">
        <v>382</v>
      </c>
      <c r="H51" s="198" t="s">
        <v>382</v>
      </c>
      <c r="I51" s="198" t="s">
        <v>382</v>
      </c>
      <c r="J51" s="199" t="s">
        <v>382</v>
      </c>
    </row>
    <row r="52" spans="1:10" ht="25.5" x14ac:dyDescent="0.2">
      <c r="A52" s="42" t="str">
        <f t="shared" si="1"/>
        <v>Ц_92.1</v>
      </c>
      <c r="B52" s="184" t="str">
        <f t="shared" si="9"/>
        <v>Ц_9ПП_2</v>
      </c>
      <c r="C52" s="42" t="str">
        <f t="shared" si="12"/>
        <v>Ц_9</v>
      </c>
      <c r="D52" s="99" t="s">
        <v>84</v>
      </c>
      <c r="E52" s="191" t="str">
        <f>VLOOKUP(D52,Справочники!$A:$B,2,FALSE)</f>
        <v>Амортизация оборудования</v>
      </c>
      <c r="F52" s="131"/>
      <c r="G52" s="169" t="s">
        <v>390</v>
      </c>
      <c r="H52" s="191" t="str">
        <f>VLOOKUP(G52,'Уровень деятельности'!B$2:D$22,2,FALSE)</f>
        <v>Нормативное время выполения заказов</v>
      </c>
      <c r="I52" s="202">
        <f>SUMIF('Уровень деятельности'!A$1:A$50,B52,'Уровень деятельности'!D$1:D$50)</f>
        <v>900</v>
      </c>
      <c r="J52" s="203">
        <f t="shared" si="3"/>
        <v>0</v>
      </c>
    </row>
    <row r="53" spans="1:10" ht="25.5" x14ac:dyDescent="0.2">
      <c r="A53" s="42" t="str">
        <f t="shared" si="1"/>
        <v>Ц_92.2</v>
      </c>
      <c r="B53" s="184" t="str">
        <f t="shared" si="9"/>
        <v>Ц_9ПП_2</v>
      </c>
      <c r="C53" s="42" t="str">
        <f t="shared" si="12"/>
        <v>Ц_9</v>
      </c>
      <c r="D53" s="99" t="s">
        <v>87</v>
      </c>
      <c r="E53" s="191" t="str">
        <f>VLOOKUP(D53,Справочники!$A:$B,2,FALSE)</f>
        <v>Вспомогательные материалы</v>
      </c>
      <c r="F53" s="131"/>
      <c r="G53" s="169" t="s">
        <v>390</v>
      </c>
      <c r="H53" s="191" t="str">
        <f>VLOOKUP(G53,'Уровень деятельности'!B$2:D$22,2,FALSE)</f>
        <v>Нормативное время выполения заказов</v>
      </c>
      <c r="I53" s="202">
        <f>SUMIF('Уровень деятельности'!A$1:A$50,B53,'Уровень деятельности'!D$1:D$50)</f>
        <v>900</v>
      </c>
      <c r="J53" s="203">
        <f t="shared" si="3"/>
        <v>0</v>
      </c>
    </row>
    <row r="54" spans="1:10" ht="25.5" x14ac:dyDescent="0.2">
      <c r="A54" s="42" t="str">
        <f t="shared" si="1"/>
        <v>Ц_92.3</v>
      </c>
      <c r="B54" s="184" t="str">
        <f t="shared" si="9"/>
        <v>Ц_9ПП_2</v>
      </c>
      <c r="C54" s="42" t="str">
        <f t="shared" si="12"/>
        <v>Ц_9</v>
      </c>
      <c r="D54" s="99" t="s">
        <v>175</v>
      </c>
      <c r="E54" s="191" t="str">
        <f>VLOOKUP(D54,Справочники!$A:$B,2,FALSE)</f>
        <v>Запчасти для ремонта оборудования</v>
      </c>
      <c r="F54" s="131"/>
      <c r="G54" s="169" t="s">
        <v>390</v>
      </c>
      <c r="H54" s="191" t="str">
        <f>VLOOKUP(G54,'Уровень деятельности'!B$2:D$22,2,FALSE)</f>
        <v>Нормативное время выполения заказов</v>
      </c>
      <c r="I54" s="202">
        <f>SUMIF('Уровень деятельности'!A$1:A$50,B54,'Уровень деятельности'!D$1:D$50)</f>
        <v>900</v>
      </c>
      <c r="J54" s="203">
        <f t="shared" si="3"/>
        <v>0</v>
      </c>
    </row>
    <row r="55" spans="1:10" ht="25.5" x14ac:dyDescent="0.2">
      <c r="A55" s="42" t="str">
        <f t="shared" si="1"/>
        <v>Ц_92.4</v>
      </c>
      <c r="B55" s="184" t="str">
        <f t="shared" si="9"/>
        <v>Ц_9ПП_2</v>
      </c>
      <c r="C55" s="42" t="str">
        <f t="shared" si="12"/>
        <v>Ц_9</v>
      </c>
      <c r="D55" s="99" t="s">
        <v>176</v>
      </c>
      <c r="E55" s="191" t="str">
        <f>VLOOKUP(D55,Справочники!$A:$B,2,FALSE)</f>
        <v>Услуги стор орг-ий по рем и обслуж оборуд-я</v>
      </c>
      <c r="F55" s="131"/>
      <c r="G55" s="169" t="s">
        <v>390</v>
      </c>
      <c r="H55" s="191" t="str">
        <f>VLOOKUP(G55,'Уровень деятельности'!B$2:D$22,2,FALSE)</f>
        <v>Нормативное время выполения заказов</v>
      </c>
      <c r="I55" s="202">
        <f>SUMIF('Уровень деятельности'!A$1:A$50,B55,'Уровень деятельности'!D$1:D$50)</f>
        <v>900</v>
      </c>
      <c r="J55" s="203">
        <f t="shared" si="3"/>
        <v>0</v>
      </c>
    </row>
    <row r="56" spans="1:10" s="42" customFormat="1" x14ac:dyDescent="0.2">
      <c r="A56" s="42" t="str">
        <f t="shared" si="1"/>
        <v>Ц_10Ц_10</v>
      </c>
      <c r="B56" s="184" t="str">
        <f t="shared" si="9"/>
        <v>Ц_10</v>
      </c>
      <c r="C56" s="42" t="str">
        <f t="shared" ref="C56:C61" si="13">D$56</f>
        <v>Ц_10</v>
      </c>
      <c r="D56" s="187" t="s">
        <v>199</v>
      </c>
      <c r="E56" s="188" t="str">
        <f>VLOOKUP(D56,Справочники!$A:$B,2,FALSE)</f>
        <v>Биговка, перфорация и вырубка</v>
      </c>
      <c r="F56" s="111"/>
      <c r="G56" s="189"/>
      <c r="H56" s="188"/>
      <c r="I56" s="200"/>
      <c r="J56" s="201"/>
    </row>
    <row r="57" spans="1:10" x14ac:dyDescent="0.2">
      <c r="A57" s="42" t="str">
        <f t="shared" si="1"/>
        <v>Ц_102</v>
      </c>
      <c r="B57" s="184" t="str">
        <f t="shared" si="9"/>
        <v>Ц_10-</v>
      </c>
      <c r="C57" s="42" t="str">
        <f t="shared" si="13"/>
        <v>Ц_10</v>
      </c>
      <c r="D57" s="99" t="s">
        <v>125</v>
      </c>
      <c r="E57" s="190" t="str">
        <f>VLOOKUP(D57,Справочники!$A:$B,2,FALSE)</f>
        <v>Общепроизводственные</v>
      </c>
      <c r="F57" s="207">
        <f>SUM(F58:F61)</f>
        <v>0</v>
      </c>
      <c r="G57" s="198" t="s">
        <v>382</v>
      </c>
      <c r="H57" s="198" t="s">
        <v>382</v>
      </c>
      <c r="I57" s="198" t="s">
        <v>382</v>
      </c>
      <c r="J57" s="199" t="s">
        <v>382</v>
      </c>
    </row>
    <row r="58" spans="1:10" ht="25.5" x14ac:dyDescent="0.2">
      <c r="A58" s="42" t="str">
        <f t="shared" si="1"/>
        <v>Ц_102.1</v>
      </c>
      <c r="B58" s="184" t="str">
        <f t="shared" si="9"/>
        <v>Ц_10ПП_2</v>
      </c>
      <c r="C58" s="42" t="str">
        <f t="shared" si="13"/>
        <v>Ц_10</v>
      </c>
      <c r="D58" s="99" t="s">
        <v>84</v>
      </c>
      <c r="E58" s="191" t="str">
        <f>VLOOKUP(D58,Справочники!$A:$B,2,FALSE)</f>
        <v>Амортизация оборудования</v>
      </c>
      <c r="F58" s="131"/>
      <c r="G58" s="169" t="s">
        <v>390</v>
      </c>
      <c r="H58" s="191" t="str">
        <f>VLOOKUP(G58,'Уровень деятельности'!B$2:D$22,2,FALSE)</f>
        <v>Нормативное время выполения заказов</v>
      </c>
      <c r="I58" s="202">
        <f>SUMIF('Уровень деятельности'!A$1:A$50,B58,'Уровень деятельности'!D$1:D$50)</f>
        <v>950</v>
      </c>
      <c r="J58" s="203">
        <f t="shared" si="3"/>
        <v>0</v>
      </c>
    </row>
    <row r="59" spans="1:10" ht="25.5" x14ac:dyDescent="0.2">
      <c r="A59" s="42" t="str">
        <f t="shared" si="1"/>
        <v>Ц_102.2</v>
      </c>
      <c r="B59" s="184" t="str">
        <f t="shared" si="9"/>
        <v>Ц_10ПП_2</v>
      </c>
      <c r="C59" s="42" t="str">
        <f t="shared" si="13"/>
        <v>Ц_10</v>
      </c>
      <c r="D59" s="99" t="s">
        <v>87</v>
      </c>
      <c r="E59" s="191" t="str">
        <f>VLOOKUP(D59,Справочники!$A:$B,2,FALSE)</f>
        <v>Вспомогательные материалы</v>
      </c>
      <c r="F59" s="131"/>
      <c r="G59" s="169" t="s">
        <v>390</v>
      </c>
      <c r="H59" s="191" t="str">
        <f>VLOOKUP(G59,'Уровень деятельности'!B$2:D$22,2,FALSE)</f>
        <v>Нормативное время выполения заказов</v>
      </c>
      <c r="I59" s="202">
        <f>SUMIF('Уровень деятельности'!A$1:A$50,B59,'Уровень деятельности'!D$1:D$50)</f>
        <v>950</v>
      </c>
      <c r="J59" s="203">
        <f t="shared" si="3"/>
        <v>0</v>
      </c>
    </row>
    <row r="60" spans="1:10" ht="25.5" x14ac:dyDescent="0.2">
      <c r="A60" s="42" t="str">
        <f t="shared" si="1"/>
        <v>Ц_102.3</v>
      </c>
      <c r="B60" s="184" t="str">
        <f t="shared" si="9"/>
        <v>Ц_10ПП_2</v>
      </c>
      <c r="C60" s="42" t="str">
        <f t="shared" si="13"/>
        <v>Ц_10</v>
      </c>
      <c r="D60" s="99" t="s">
        <v>175</v>
      </c>
      <c r="E60" s="191" t="str">
        <f>VLOOKUP(D60,Справочники!$A:$B,2,FALSE)</f>
        <v>Запчасти для ремонта оборудования</v>
      </c>
      <c r="F60" s="131"/>
      <c r="G60" s="169" t="s">
        <v>390</v>
      </c>
      <c r="H60" s="191" t="str">
        <f>VLOOKUP(G60,'Уровень деятельности'!B$2:D$22,2,FALSE)</f>
        <v>Нормативное время выполения заказов</v>
      </c>
      <c r="I60" s="202">
        <f>SUMIF('Уровень деятельности'!A$1:A$50,B60,'Уровень деятельности'!D$1:D$50)</f>
        <v>950</v>
      </c>
      <c r="J60" s="203">
        <f t="shared" si="3"/>
        <v>0</v>
      </c>
    </row>
    <row r="61" spans="1:10" ht="25.5" x14ac:dyDescent="0.2">
      <c r="A61" s="42" t="str">
        <f t="shared" si="1"/>
        <v>Ц_102.4</v>
      </c>
      <c r="B61" s="184" t="str">
        <f t="shared" si="9"/>
        <v>Ц_10ПП_2</v>
      </c>
      <c r="C61" s="42" t="str">
        <f t="shared" si="13"/>
        <v>Ц_10</v>
      </c>
      <c r="D61" s="99" t="s">
        <v>176</v>
      </c>
      <c r="E61" s="191" t="str">
        <f>VLOOKUP(D61,Справочники!$A:$B,2,FALSE)</f>
        <v>Услуги стор орг-ий по рем и обслуж оборуд-я</v>
      </c>
      <c r="F61" s="131"/>
      <c r="G61" s="169" t="s">
        <v>390</v>
      </c>
      <c r="H61" s="191" t="str">
        <f>VLOOKUP(G61,'Уровень деятельности'!B$2:D$22,2,FALSE)</f>
        <v>Нормативное время выполения заказов</v>
      </c>
      <c r="I61" s="202">
        <f>SUMIF('Уровень деятельности'!A$1:A$50,B61,'Уровень деятельности'!D$1:D$50)</f>
        <v>950</v>
      </c>
      <c r="J61" s="203">
        <f t="shared" si="3"/>
        <v>0</v>
      </c>
    </row>
    <row r="62" spans="1:10" s="42" customFormat="1" x14ac:dyDescent="0.2">
      <c r="A62" s="42" t="str">
        <f t="shared" si="1"/>
        <v>Ц_11Ц_11</v>
      </c>
      <c r="B62" s="184" t="str">
        <f t="shared" si="9"/>
        <v>Ц_11</v>
      </c>
      <c r="C62" s="42" t="str">
        <f t="shared" ref="C62:C67" si="14">D$62</f>
        <v>Ц_11</v>
      </c>
      <c r="D62" s="187" t="s">
        <v>200</v>
      </c>
      <c r="E62" s="188" t="str">
        <f>VLOOKUP(D62,Справочники!$A:$B,2,FALSE)</f>
        <v>ВШРА</v>
      </c>
      <c r="F62" s="111"/>
      <c r="G62" s="189"/>
      <c r="H62" s="188"/>
      <c r="I62" s="200"/>
      <c r="J62" s="201"/>
    </row>
    <row r="63" spans="1:10" x14ac:dyDescent="0.2">
      <c r="A63" s="42" t="str">
        <f t="shared" si="1"/>
        <v>Ц_112</v>
      </c>
      <c r="B63" s="184" t="str">
        <f t="shared" si="9"/>
        <v>Ц_11-</v>
      </c>
      <c r="C63" s="42" t="str">
        <f t="shared" si="14"/>
        <v>Ц_11</v>
      </c>
      <c r="D63" s="99" t="s">
        <v>125</v>
      </c>
      <c r="E63" s="190" t="str">
        <f>VLOOKUP(D63,Справочники!$A:$B,2,FALSE)</f>
        <v>Общепроизводственные</v>
      </c>
      <c r="F63" s="207">
        <f>SUM(F64:F67)</f>
        <v>0</v>
      </c>
      <c r="G63" s="198" t="s">
        <v>382</v>
      </c>
      <c r="H63" s="198" t="s">
        <v>382</v>
      </c>
      <c r="I63" s="198" t="s">
        <v>382</v>
      </c>
      <c r="J63" s="199" t="s">
        <v>382</v>
      </c>
    </row>
    <row r="64" spans="1:10" ht="25.5" x14ac:dyDescent="0.2">
      <c r="A64" s="42" t="str">
        <f t="shared" si="1"/>
        <v>Ц_112.1</v>
      </c>
      <c r="B64" s="184" t="str">
        <f t="shared" si="9"/>
        <v>Ц_11ПП_2</v>
      </c>
      <c r="C64" s="42" t="str">
        <f t="shared" si="14"/>
        <v>Ц_11</v>
      </c>
      <c r="D64" s="99" t="s">
        <v>84</v>
      </c>
      <c r="E64" s="191" t="str">
        <f>VLOOKUP(D64,Справочники!$A:$B,2,FALSE)</f>
        <v>Амортизация оборудования</v>
      </c>
      <c r="F64" s="131"/>
      <c r="G64" s="169" t="s">
        <v>390</v>
      </c>
      <c r="H64" s="191" t="str">
        <f>VLOOKUP(G64,'Уровень деятельности'!B$2:D$22,2,FALSE)</f>
        <v>Нормативное время выполения заказов</v>
      </c>
      <c r="I64" s="202">
        <f>SUMIF('Уровень деятельности'!A$1:A$50,B64,'Уровень деятельности'!D$1:D$50)</f>
        <v>1000</v>
      </c>
      <c r="J64" s="203">
        <f t="shared" si="3"/>
        <v>0</v>
      </c>
    </row>
    <row r="65" spans="1:10" ht="25.5" x14ac:dyDescent="0.2">
      <c r="A65" s="42" t="str">
        <f t="shared" si="1"/>
        <v>Ц_112.2</v>
      </c>
      <c r="B65" s="184" t="str">
        <f t="shared" si="9"/>
        <v>Ц_11ПП_2</v>
      </c>
      <c r="C65" s="42" t="str">
        <f t="shared" si="14"/>
        <v>Ц_11</v>
      </c>
      <c r="D65" s="99" t="s">
        <v>87</v>
      </c>
      <c r="E65" s="191" t="str">
        <f>VLOOKUP(D65,Справочники!$A:$B,2,FALSE)</f>
        <v>Вспомогательные материалы</v>
      </c>
      <c r="F65" s="131"/>
      <c r="G65" s="169" t="s">
        <v>390</v>
      </c>
      <c r="H65" s="191" t="str">
        <f>VLOOKUP(G65,'Уровень деятельности'!B$2:D$22,2,FALSE)</f>
        <v>Нормативное время выполения заказов</v>
      </c>
      <c r="I65" s="202">
        <f>SUMIF('Уровень деятельности'!A$1:A$50,B65,'Уровень деятельности'!D$1:D$50)</f>
        <v>1000</v>
      </c>
      <c r="J65" s="203">
        <f t="shared" si="3"/>
        <v>0</v>
      </c>
    </row>
    <row r="66" spans="1:10" ht="25.5" x14ac:dyDescent="0.2">
      <c r="A66" s="42" t="str">
        <f t="shared" si="1"/>
        <v>Ц_112.3</v>
      </c>
      <c r="B66" s="184" t="str">
        <f t="shared" si="9"/>
        <v>Ц_11ПП_2</v>
      </c>
      <c r="C66" s="42" t="str">
        <f t="shared" si="14"/>
        <v>Ц_11</v>
      </c>
      <c r="D66" s="99" t="s">
        <v>175</v>
      </c>
      <c r="E66" s="191" t="str">
        <f>VLOOKUP(D66,Справочники!$A:$B,2,FALSE)</f>
        <v>Запчасти для ремонта оборудования</v>
      </c>
      <c r="F66" s="131"/>
      <c r="G66" s="169" t="s">
        <v>390</v>
      </c>
      <c r="H66" s="191" t="str">
        <f>VLOOKUP(G66,'Уровень деятельности'!B$2:D$22,2,FALSE)</f>
        <v>Нормативное время выполения заказов</v>
      </c>
      <c r="I66" s="202">
        <f>SUMIF('Уровень деятельности'!A$1:A$50,B66,'Уровень деятельности'!D$1:D$50)</f>
        <v>1000</v>
      </c>
      <c r="J66" s="203">
        <f t="shared" si="3"/>
        <v>0</v>
      </c>
    </row>
    <row r="67" spans="1:10" ht="25.5" x14ac:dyDescent="0.2">
      <c r="A67" s="42" t="str">
        <f t="shared" ref="A67:A91" si="15">CONCATENATE(C67,D67)</f>
        <v>Ц_112.4</v>
      </c>
      <c r="B67" s="184" t="str">
        <f t="shared" si="9"/>
        <v>Ц_11ПП_2</v>
      </c>
      <c r="C67" s="42" t="str">
        <f t="shared" si="14"/>
        <v>Ц_11</v>
      </c>
      <c r="D67" s="99" t="s">
        <v>176</v>
      </c>
      <c r="E67" s="191" t="str">
        <f>VLOOKUP(D67,Справочники!$A:$B,2,FALSE)</f>
        <v>Услуги стор орг-ий по рем и обслуж оборуд-я</v>
      </c>
      <c r="F67" s="131"/>
      <c r="G67" s="169" t="s">
        <v>390</v>
      </c>
      <c r="H67" s="191" t="str">
        <f>VLOOKUP(G67,'Уровень деятельности'!B$2:D$22,2,FALSE)</f>
        <v>Нормативное время выполения заказов</v>
      </c>
      <c r="I67" s="202">
        <f>SUMIF('Уровень деятельности'!A$1:A$50,B67,'Уровень деятельности'!D$1:D$50)</f>
        <v>1000</v>
      </c>
      <c r="J67" s="203">
        <f t="shared" si="3"/>
        <v>0</v>
      </c>
    </row>
    <row r="68" spans="1:10" s="42" customFormat="1" x14ac:dyDescent="0.2">
      <c r="A68" s="42" t="str">
        <f t="shared" si="15"/>
        <v>Ц_12Ц_12</v>
      </c>
      <c r="B68" s="184" t="str">
        <f t="shared" ref="B68:B91" si="16">CONCATENATE(C68,G68)</f>
        <v>Ц_12</v>
      </c>
      <c r="C68" s="42" t="str">
        <f>D$68</f>
        <v>Ц_12</v>
      </c>
      <c r="D68" s="187" t="s">
        <v>201</v>
      </c>
      <c r="E68" s="188" t="str">
        <f>VLOOKUP(D68,Справочники!$A:$B,2,FALSE)</f>
        <v>Администрация</v>
      </c>
      <c r="F68" s="111"/>
      <c r="G68" s="189"/>
      <c r="H68" s="188"/>
      <c r="I68" s="200"/>
      <c r="J68" s="201"/>
    </row>
    <row r="69" spans="1:10" ht="25.5" x14ac:dyDescent="0.2">
      <c r="A69" s="42" t="str">
        <f t="shared" si="15"/>
        <v>3</v>
      </c>
      <c r="B69" s="184" t="str">
        <f t="shared" si="16"/>
        <v>ПП_4</v>
      </c>
      <c r="C69" s="42"/>
      <c r="D69" s="99" t="s">
        <v>162</v>
      </c>
      <c r="E69" s="190" t="str">
        <f>VLOOKUP(D69,Справочники!$A:$B,2,FALSE)</f>
        <v>Административные затраты</v>
      </c>
      <c r="F69" s="207">
        <v>30000</v>
      </c>
      <c r="G69" s="169" t="s">
        <v>392</v>
      </c>
      <c r="H69" s="191" t="str">
        <f>VLOOKUP(G69,'Уровень деятельности'!B$2:D$22,2,FALSE)</f>
        <v>Производственная себестоимость заказов</v>
      </c>
      <c r="I69" s="202">
        <f>SUMIF('Уровень деятельности'!A$1:A$50,B69,'Уровень деятельности'!D$1:D$50)</f>
        <v>120000</v>
      </c>
      <c r="J69" s="203">
        <f>F69/I69</f>
        <v>0.25</v>
      </c>
    </row>
    <row r="70" spans="1:10" ht="25.5" x14ac:dyDescent="0.2">
      <c r="A70" s="42" t="str">
        <f t="shared" si="15"/>
        <v>3.1</v>
      </c>
      <c r="B70" s="184" t="str">
        <f t="shared" si="16"/>
        <v>-</v>
      </c>
      <c r="C70" s="42"/>
      <c r="D70" s="99" t="s">
        <v>177</v>
      </c>
      <c r="E70" s="191" t="str">
        <f>VLOOKUP(D70,Справочники!$A:$B,2,FALSE)</f>
        <v>Амортизация имущества (за искл. оборудования)</v>
      </c>
      <c r="F70" s="131"/>
      <c r="G70" s="198" t="s">
        <v>382</v>
      </c>
      <c r="H70" s="198" t="s">
        <v>382</v>
      </c>
      <c r="I70" s="198" t="s">
        <v>382</v>
      </c>
      <c r="J70" s="199" t="s">
        <v>382</v>
      </c>
    </row>
    <row r="71" spans="1:10" x14ac:dyDescent="0.2">
      <c r="A71" s="42" t="str">
        <f t="shared" si="15"/>
        <v>3.2</v>
      </c>
      <c r="B71" s="184" t="str">
        <f t="shared" si="16"/>
        <v>-</v>
      </c>
      <c r="C71" s="42"/>
      <c r="D71" s="99" t="s">
        <v>178</v>
      </c>
      <c r="E71" s="191" t="str">
        <f>VLOOKUP(D71,Справочники!$A:$B,2,FALSE)</f>
        <v>Аренда помещений</v>
      </c>
      <c r="F71" s="131"/>
      <c r="G71" s="198" t="s">
        <v>382</v>
      </c>
      <c r="H71" s="198" t="s">
        <v>382</v>
      </c>
      <c r="I71" s="198" t="s">
        <v>382</v>
      </c>
      <c r="J71" s="199" t="s">
        <v>382</v>
      </c>
    </row>
    <row r="72" spans="1:10" x14ac:dyDescent="0.2">
      <c r="A72" s="42" t="str">
        <f t="shared" si="15"/>
        <v>3.3</v>
      </c>
      <c r="B72" s="184" t="str">
        <f t="shared" si="16"/>
        <v>-</v>
      </c>
      <c r="C72" s="42"/>
      <c r="D72" s="99" t="s">
        <v>179</v>
      </c>
      <c r="E72" s="191" t="str">
        <f>VLOOKUP(D72,Справочники!$A:$B,2,FALSE)</f>
        <v>Заработная плата</v>
      </c>
      <c r="F72" s="131"/>
      <c r="G72" s="198" t="s">
        <v>382</v>
      </c>
      <c r="H72" s="198" t="s">
        <v>382</v>
      </c>
      <c r="I72" s="198" t="s">
        <v>382</v>
      </c>
      <c r="J72" s="199" t="s">
        <v>382</v>
      </c>
    </row>
    <row r="73" spans="1:10" x14ac:dyDescent="0.2">
      <c r="A73" s="42" t="str">
        <f t="shared" si="15"/>
        <v>3.4</v>
      </c>
      <c r="B73" s="184" t="str">
        <f t="shared" si="16"/>
        <v>-</v>
      </c>
      <c r="C73" s="42"/>
      <c r="D73" s="99" t="s">
        <v>180</v>
      </c>
      <c r="E73" s="191" t="str">
        <f>VLOOKUP(D73,Справочники!$A:$B,2,FALSE)</f>
        <v>Отчисления с заработной платы</v>
      </c>
      <c r="F73" s="131"/>
      <c r="G73" s="198" t="s">
        <v>382</v>
      </c>
      <c r="H73" s="198" t="s">
        <v>382</v>
      </c>
      <c r="I73" s="198" t="s">
        <v>382</v>
      </c>
      <c r="J73" s="199" t="s">
        <v>382</v>
      </c>
    </row>
    <row r="74" spans="1:10" x14ac:dyDescent="0.2">
      <c r="A74" s="42" t="str">
        <f t="shared" si="15"/>
        <v>3.5</v>
      </c>
      <c r="B74" s="184" t="str">
        <f t="shared" si="16"/>
        <v>-</v>
      </c>
      <c r="C74" s="42"/>
      <c r="D74" s="99" t="s">
        <v>181</v>
      </c>
      <c r="E74" s="191" t="str">
        <f>VLOOKUP(D74,Справочники!$A:$B,2,FALSE)</f>
        <v>Электроэнергия</v>
      </c>
      <c r="F74" s="131"/>
      <c r="G74" s="198" t="s">
        <v>382</v>
      </c>
      <c r="H74" s="198" t="s">
        <v>382</v>
      </c>
      <c r="I74" s="198" t="s">
        <v>382</v>
      </c>
      <c r="J74" s="199" t="s">
        <v>382</v>
      </c>
    </row>
    <row r="75" spans="1:10" x14ac:dyDescent="0.2">
      <c r="A75" s="42" t="str">
        <f t="shared" si="15"/>
        <v>3.6</v>
      </c>
      <c r="B75" s="184" t="str">
        <f t="shared" si="16"/>
        <v>-</v>
      </c>
      <c r="C75" s="42"/>
      <c r="D75" s="99" t="s">
        <v>182</v>
      </c>
      <c r="E75" s="191" t="str">
        <f>VLOOKUP(D75,Справочники!$A:$B,2,FALSE)</f>
        <v>Мобильная связь</v>
      </c>
      <c r="F75" s="131"/>
      <c r="G75" s="198" t="s">
        <v>382</v>
      </c>
      <c r="H75" s="198" t="s">
        <v>382</v>
      </c>
      <c r="I75" s="198" t="s">
        <v>382</v>
      </c>
      <c r="J75" s="199" t="s">
        <v>382</v>
      </c>
    </row>
    <row r="76" spans="1:10" x14ac:dyDescent="0.2">
      <c r="A76" s="42" t="str">
        <f t="shared" si="15"/>
        <v>3.7</v>
      </c>
      <c r="B76" s="184" t="str">
        <f t="shared" si="16"/>
        <v>-</v>
      </c>
      <c r="C76" s="42"/>
      <c r="D76" s="99" t="s">
        <v>183</v>
      </c>
      <c r="E76" s="191" t="str">
        <f>VLOOKUP(D76,Справочники!$A:$B,2,FALSE)</f>
        <v>Совинтел</v>
      </c>
      <c r="F76" s="131"/>
      <c r="G76" s="198" t="s">
        <v>382</v>
      </c>
      <c r="H76" s="198" t="s">
        <v>382</v>
      </c>
      <c r="I76" s="198" t="s">
        <v>382</v>
      </c>
      <c r="J76" s="199" t="s">
        <v>382</v>
      </c>
    </row>
    <row r="77" spans="1:10" ht="25.5" x14ac:dyDescent="0.2">
      <c r="A77" s="42" t="str">
        <f t="shared" si="15"/>
        <v>3.8</v>
      </c>
      <c r="B77" s="184" t="str">
        <f t="shared" si="16"/>
        <v>-</v>
      </c>
      <c r="C77" s="42"/>
      <c r="D77" s="99" t="s">
        <v>184</v>
      </c>
      <c r="E77" s="191" t="str">
        <f>VLOOKUP(D77,Справочники!$A:$B,2,FALSE)</f>
        <v>Транспортные расходы (затраты на обслуживание, наем тр-та)</v>
      </c>
      <c r="F77" s="131"/>
      <c r="G77" s="198" t="s">
        <v>382</v>
      </c>
      <c r="H77" s="198" t="s">
        <v>382</v>
      </c>
      <c r="I77" s="198" t="s">
        <v>382</v>
      </c>
      <c r="J77" s="199" t="s">
        <v>382</v>
      </c>
    </row>
    <row r="78" spans="1:10" ht="25.5" x14ac:dyDescent="0.2">
      <c r="A78" s="42" t="str">
        <f t="shared" si="15"/>
        <v>3.9</v>
      </c>
      <c r="B78" s="184" t="str">
        <f t="shared" si="16"/>
        <v>-</v>
      </c>
      <c r="C78" s="42"/>
      <c r="D78" s="99" t="s">
        <v>185</v>
      </c>
      <c r="E78" s="191" t="str">
        <f>VLOOKUP(D78,Справочники!$A:$B,2,FALSE)</f>
        <v>Услуги по транспортировке отходов производства</v>
      </c>
      <c r="F78" s="131"/>
      <c r="G78" s="198" t="s">
        <v>382</v>
      </c>
      <c r="H78" s="198" t="s">
        <v>382</v>
      </c>
      <c r="I78" s="198" t="s">
        <v>382</v>
      </c>
      <c r="J78" s="199" t="s">
        <v>382</v>
      </c>
    </row>
    <row r="79" spans="1:10" x14ac:dyDescent="0.2">
      <c r="A79" s="42" t="str">
        <f t="shared" si="15"/>
        <v>3.10</v>
      </c>
      <c r="B79" s="184" t="str">
        <f t="shared" si="16"/>
        <v>-</v>
      </c>
      <c r="C79" s="42"/>
      <c r="D79" s="99" t="s">
        <v>186</v>
      </c>
      <c r="E79" s="191" t="str">
        <f>VLOOKUP(D79,Справочники!$A:$B,2,FALSE)</f>
        <v>Налоги</v>
      </c>
      <c r="F79" s="131"/>
      <c r="G79" s="198" t="s">
        <v>382</v>
      </c>
      <c r="H79" s="198" t="s">
        <v>382</v>
      </c>
      <c r="I79" s="198" t="s">
        <v>382</v>
      </c>
      <c r="J79" s="199" t="s">
        <v>382</v>
      </c>
    </row>
    <row r="80" spans="1:10" x14ac:dyDescent="0.2">
      <c r="A80" s="42" t="str">
        <f t="shared" si="15"/>
        <v>3.11</v>
      </c>
      <c r="B80" s="184" t="str">
        <f t="shared" si="16"/>
        <v>-</v>
      </c>
      <c r="C80" s="42"/>
      <c r="D80" s="99" t="s">
        <v>187</v>
      </c>
      <c r="E80" s="191" t="str">
        <f>VLOOKUP(D80,Справочники!$A:$B,2,FALSE)</f>
        <v>Канцтовары</v>
      </c>
      <c r="F80" s="131"/>
      <c r="G80" s="198" t="s">
        <v>382</v>
      </c>
      <c r="H80" s="198" t="s">
        <v>382</v>
      </c>
      <c r="I80" s="198" t="s">
        <v>382</v>
      </c>
      <c r="J80" s="199" t="s">
        <v>382</v>
      </c>
    </row>
    <row r="81" spans="1:10" x14ac:dyDescent="0.2">
      <c r="A81" s="42" t="str">
        <f t="shared" si="15"/>
        <v>3.12</v>
      </c>
      <c r="B81" s="184" t="str">
        <f t="shared" si="16"/>
        <v>-</v>
      </c>
      <c r="C81" s="42"/>
      <c r="D81" s="99" t="s">
        <v>188</v>
      </c>
      <c r="E81" s="191" t="str">
        <f>VLOOKUP(D81,Справочники!$A:$B,2,FALSE)</f>
        <v>Прочие накладные административные затраты</v>
      </c>
      <c r="F81" s="131"/>
      <c r="G81" s="198" t="s">
        <v>382</v>
      </c>
      <c r="H81" s="198" t="s">
        <v>382</v>
      </c>
      <c r="I81" s="198" t="s">
        <v>382</v>
      </c>
      <c r="J81" s="199" t="s">
        <v>382</v>
      </c>
    </row>
    <row r="82" spans="1:10" s="42" customFormat="1" x14ac:dyDescent="0.2">
      <c r="A82" s="42" t="str">
        <f t="shared" si="15"/>
        <v>Ц_13</v>
      </c>
      <c r="B82" s="184" t="str">
        <f t="shared" si="16"/>
        <v/>
      </c>
      <c r="D82" s="187" t="s">
        <v>202</v>
      </c>
      <c r="E82" s="188" t="str">
        <f>VLOOKUP(D82,Справочники!$A:$B,2,FALSE)</f>
        <v>Коммерческий отдел</v>
      </c>
      <c r="F82" s="111"/>
      <c r="G82" s="189"/>
      <c r="H82" s="188"/>
      <c r="I82" s="200"/>
      <c r="J82" s="201"/>
    </row>
    <row r="83" spans="1:10" ht="25.5" x14ac:dyDescent="0.2">
      <c r="A83" s="42" t="str">
        <f t="shared" si="15"/>
        <v>4</v>
      </c>
      <c r="B83" s="184" t="str">
        <f t="shared" si="16"/>
        <v>ПП_4</v>
      </c>
      <c r="C83" s="42"/>
      <c r="D83" s="99" t="s">
        <v>144</v>
      </c>
      <c r="E83" s="190" t="str">
        <f>VLOOKUP(D83,Справочники!$A:$B,2,FALSE)</f>
        <v>Коммерческие расходы</v>
      </c>
      <c r="F83" s="207">
        <v>40000</v>
      </c>
      <c r="G83" s="169" t="s">
        <v>392</v>
      </c>
      <c r="H83" s="191" t="str">
        <f>VLOOKUP(G83,'Уровень деятельности'!B$2:D$22,2,FALSE)</f>
        <v>Производственная себестоимость заказов</v>
      </c>
      <c r="I83" s="202">
        <f>SUMIF('Уровень деятельности'!A$1:A$50,B83,'Уровень деятельности'!D$1:D$50)</f>
        <v>120000</v>
      </c>
      <c r="J83" s="203">
        <f>F83/I83</f>
        <v>0.33333333333333331</v>
      </c>
    </row>
    <row r="84" spans="1:10" x14ac:dyDescent="0.2">
      <c r="A84" s="42" t="str">
        <f t="shared" si="15"/>
        <v>4.1</v>
      </c>
      <c r="B84" s="184" t="str">
        <f t="shared" si="16"/>
        <v>-</v>
      </c>
      <c r="C84" s="42"/>
      <c r="D84" s="99" t="s">
        <v>145</v>
      </c>
      <c r="E84" s="191" t="str">
        <f>VLOOKUP(D84,Справочники!$A:$B,2,FALSE)</f>
        <v>Реклама</v>
      </c>
      <c r="F84" s="131"/>
      <c r="G84" s="198" t="s">
        <v>382</v>
      </c>
      <c r="H84" s="198" t="s">
        <v>382</v>
      </c>
      <c r="I84" s="198" t="s">
        <v>382</v>
      </c>
      <c r="J84" s="199" t="s">
        <v>382</v>
      </c>
    </row>
    <row r="85" spans="1:10" x14ac:dyDescent="0.2">
      <c r="A85" s="42" t="str">
        <f t="shared" si="15"/>
        <v>4.2</v>
      </c>
      <c r="B85" s="184" t="str">
        <f t="shared" si="16"/>
        <v>-</v>
      </c>
      <c r="C85" s="42"/>
      <c r="D85" s="99" t="s">
        <v>147</v>
      </c>
      <c r="E85" s="191" t="str">
        <f>VLOOKUP(D85,Справочники!$A:$B,2,FALSE)</f>
        <v>Командировки</v>
      </c>
      <c r="F85" s="131"/>
      <c r="G85" s="198" t="s">
        <v>382</v>
      </c>
      <c r="H85" s="198" t="s">
        <v>382</v>
      </c>
      <c r="I85" s="198" t="s">
        <v>382</v>
      </c>
      <c r="J85" s="199" t="s">
        <v>382</v>
      </c>
    </row>
    <row r="86" spans="1:10" x14ac:dyDescent="0.2">
      <c r="A86" s="42" t="str">
        <f t="shared" si="15"/>
        <v>4.3</v>
      </c>
      <c r="B86" s="184" t="str">
        <f t="shared" si="16"/>
        <v>-</v>
      </c>
      <c r="C86" s="42"/>
      <c r="D86" s="99" t="s">
        <v>149</v>
      </c>
      <c r="E86" s="191" t="str">
        <f>VLOOKUP(D86,Справочники!$A:$B,2,FALSE)</f>
        <v>Участие в выставках, конкурсах</v>
      </c>
      <c r="F86" s="131"/>
      <c r="G86" s="198" t="s">
        <v>382</v>
      </c>
      <c r="H86" s="198" t="s">
        <v>382</v>
      </c>
      <c r="I86" s="198" t="s">
        <v>382</v>
      </c>
      <c r="J86" s="199" t="s">
        <v>382</v>
      </c>
    </row>
    <row r="87" spans="1:10" x14ac:dyDescent="0.2">
      <c r="A87" s="42" t="str">
        <f t="shared" si="15"/>
        <v>4.4</v>
      </c>
      <c r="B87" s="184" t="str">
        <f t="shared" si="16"/>
        <v>-</v>
      </c>
      <c r="C87" s="42"/>
      <c r="D87" s="99" t="s">
        <v>150</v>
      </c>
      <c r="E87" s="191" t="str">
        <f>VLOOKUP(D87,Справочники!$A:$B,2,FALSE)</f>
        <v>Поддержка сайта, услуги интернет</v>
      </c>
      <c r="F87" s="131"/>
      <c r="G87" s="198" t="s">
        <v>382</v>
      </c>
      <c r="H87" s="198" t="s">
        <v>382</v>
      </c>
      <c r="I87" s="198" t="s">
        <v>382</v>
      </c>
      <c r="J87" s="199" t="s">
        <v>382</v>
      </c>
    </row>
    <row r="88" spans="1:10" x14ac:dyDescent="0.2">
      <c r="A88" s="42" t="str">
        <f t="shared" si="15"/>
        <v>4.5</v>
      </c>
      <c r="B88" s="184" t="str">
        <f t="shared" si="16"/>
        <v>-</v>
      </c>
      <c r="C88" s="42"/>
      <c r="D88" s="99" t="s">
        <v>152</v>
      </c>
      <c r="E88" s="191" t="str">
        <f>VLOOKUP(D88,Справочники!$A:$B,2,FALSE)</f>
        <v>Заработная плата</v>
      </c>
      <c r="F88" s="131"/>
      <c r="G88" s="198" t="s">
        <v>382</v>
      </c>
      <c r="H88" s="198" t="s">
        <v>382</v>
      </c>
      <c r="I88" s="198" t="s">
        <v>382</v>
      </c>
      <c r="J88" s="199" t="s">
        <v>382</v>
      </c>
    </row>
    <row r="89" spans="1:10" x14ac:dyDescent="0.2">
      <c r="A89" s="42" t="str">
        <f t="shared" si="15"/>
        <v>4.6</v>
      </c>
      <c r="B89" s="184" t="str">
        <f t="shared" si="16"/>
        <v>-</v>
      </c>
      <c r="C89" s="42"/>
      <c r="D89" s="99" t="s">
        <v>154</v>
      </c>
      <c r="E89" s="191" t="str">
        <f>VLOOKUP(D89,Справочники!$A:$B,2,FALSE)</f>
        <v>Отчисления с заработной платы</v>
      </c>
      <c r="F89" s="131"/>
      <c r="G89" s="198" t="s">
        <v>382</v>
      </c>
      <c r="H89" s="198" t="s">
        <v>382</v>
      </c>
      <c r="I89" s="198" t="s">
        <v>382</v>
      </c>
      <c r="J89" s="199" t="s">
        <v>382</v>
      </c>
    </row>
    <row r="90" spans="1:10" s="42" customFormat="1" x14ac:dyDescent="0.2">
      <c r="A90" s="42" t="str">
        <f t="shared" si="15"/>
        <v>Ц_0</v>
      </c>
      <c r="B90" s="184" t="str">
        <f t="shared" si="16"/>
        <v/>
      </c>
      <c r="D90" s="192" t="s">
        <v>189</v>
      </c>
      <c r="E90" s="193" t="str">
        <f>VLOOKUP(D90,Справочники!$A:$B,2,FALSE)</f>
        <v>Компания</v>
      </c>
      <c r="F90" s="208"/>
      <c r="G90" s="194"/>
      <c r="H90" s="193"/>
      <c r="I90" s="204"/>
      <c r="J90" s="205"/>
    </row>
    <row r="91" spans="1:10" s="35" customFormat="1" ht="13.5" thickBot="1" x14ac:dyDescent="0.25">
      <c r="A91" s="42" t="str">
        <f t="shared" si="15"/>
        <v/>
      </c>
      <c r="B91" s="184" t="str">
        <f t="shared" si="16"/>
        <v/>
      </c>
      <c r="D91" s="195"/>
      <c r="E91" s="196" t="s">
        <v>387</v>
      </c>
      <c r="F91" s="209">
        <f>SUM(F3:F89)/2</f>
        <v>140000</v>
      </c>
      <c r="G91" s="197"/>
      <c r="H91" s="196"/>
      <c r="I91" s="197"/>
      <c r="J91" s="206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2"/>
  <cols>
    <col min="1" max="1" width="5.42578125" style="45" customWidth="1"/>
    <col min="2" max="2" width="25.7109375" style="67" customWidth="1"/>
    <col min="3" max="17" width="8.28515625" style="18" customWidth="1"/>
    <col min="18" max="18" width="8.85546875" style="18" bestFit="1" customWidth="1"/>
    <col min="19" max="19" width="10.140625" style="18" customWidth="1"/>
    <col min="20" max="20" width="11.5703125" style="18" customWidth="1"/>
    <col min="21" max="21" width="13.140625" style="18" customWidth="1"/>
    <col min="22" max="22" width="12.85546875" style="18" customWidth="1"/>
    <col min="23" max="23" width="14.28515625" style="18" customWidth="1"/>
    <col min="24" max="40" width="6.28515625" style="18" customWidth="1"/>
    <col min="41" max="16384" width="9.140625" style="18"/>
  </cols>
  <sheetData>
    <row r="1" spans="1:17" x14ac:dyDescent="0.2">
      <c r="A1" s="15" t="s">
        <v>72</v>
      </c>
      <c r="B1" s="16" t="s">
        <v>64</v>
      </c>
      <c r="C1" s="2" t="s">
        <v>189</v>
      </c>
      <c r="D1" s="2" t="s">
        <v>190</v>
      </c>
      <c r="E1" s="2" t="s">
        <v>191</v>
      </c>
      <c r="F1" s="2" t="s">
        <v>192</v>
      </c>
      <c r="G1" s="2" t="s">
        <v>193</v>
      </c>
      <c r="H1" s="2" t="s">
        <v>194</v>
      </c>
      <c r="I1" s="2" t="s">
        <v>195</v>
      </c>
      <c r="J1" s="2" t="s">
        <v>196</v>
      </c>
      <c r="K1" s="2" t="s">
        <v>197</v>
      </c>
      <c r="L1" s="2" t="s">
        <v>198</v>
      </c>
      <c r="M1" s="2" t="s">
        <v>199</v>
      </c>
      <c r="N1" s="2" t="s">
        <v>200</v>
      </c>
      <c r="O1" s="2" t="s">
        <v>201</v>
      </c>
      <c r="P1" s="2" t="s">
        <v>202</v>
      </c>
      <c r="Q1" s="2" t="s">
        <v>203</v>
      </c>
    </row>
    <row r="2" spans="1:17" s="68" customFormat="1" ht="48.75" customHeight="1" x14ac:dyDescent="0.2">
      <c r="C2" s="68" t="str">
        <f>VLOOKUP(C1,Справочники!$A45:$B60,2,FALSE)</f>
        <v>Компания</v>
      </c>
      <c r="D2" s="68" t="str">
        <f>VLOOKUP(D1,Справочники!$A45:$B60,2,FALSE)</f>
        <v>Цех допечатной подготовки</v>
      </c>
      <c r="E2" s="68" t="str">
        <f>VLOOKUP(E1,Справочники!$A45:$B60,2,FALSE)</f>
        <v>Печатная машина КВА 72</v>
      </c>
      <c r="F2" s="68" t="str">
        <f>VLOOKUP(F1,Справочники!$A45:$B60,2,FALSE)</f>
        <v>Печатная машина КВА 105</v>
      </c>
      <c r="G2" s="68" t="str">
        <f>VLOOKUP(G1,Справочники!$A45:$B60,2,FALSE)</f>
        <v>Печатная машина Роланд 705 1</v>
      </c>
      <c r="H2" s="68" t="str">
        <f>VLOOKUP(H1,Справочники!$A45:$B60,2,FALSE)</f>
        <v>Печатная машина Роланд 705 2</v>
      </c>
      <c r="I2" s="68" t="str">
        <f>VLOOKUP(I1,Справочники!$A45:$B60,2,FALSE)</f>
        <v>Печатная машина Роланд 204</v>
      </c>
      <c r="J2" s="68" t="str">
        <f>VLOOKUP(J1,Справочники!$A45:$B60,2,FALSE)</f>
        <v>Ножевая резка бумаги</v>
      </c>
      <c r="K2" s="68" t="str">
        <f>VLOOKUP(K1,Справочники!$A45:$B60,2,FALSE)</f>
        <v>Высечка</v>
      </c>
      <c r="L2" s="68" t="str">
        <f>VLOOKUP(L1,Справочники!$A45:$B60,2,FALSE)</f>
        <v>Фальцовка</v>
      </c>
      <c r="M2" s="68" t="str">
        <f>VLOOKUP(M1,Справочники!$A45:$B60,2,FALSE)</f>
        <v>Биговка, перфорация и вырубка</v>
      </c>
      <c r="N2" s="68" t="str">
        <f>VLOOKUP(N1,Справочники!$A45:$B60,2,FALSE)</f>
        <v>ВШРА</v>
      </c>
      <c r="O2" s="68" t="str">
        <f>VLOOKUP(O1,Справочники!$A45:$B60,2,FALSE)</f>
        <v>Администрация</v>
      </c>
      <c r="P2" s="68" t="str">
        <f>VLOOKUP(P1,Справочники!$A45:$B60,2,FALSE)</f>
        <v>Коммерческий отдел</v>
      </c>
      <c r="Q2" s="68" t="str">
        <f>VLOOKUP(Q1,Справочники!$A45:$B60,2,FALSE)</f>
        <v>Не распределяемые по ЦФУ</v>
      </c>
    </row>
    <row r="3" spans="1:17" x14ac:dyDescent="0.2">
      <c r="A3" s="1" t="s">
        <v>125</v>
      </c>
      <c r="B3" s="62" t="s">
        <v>97</v>
      </c>
    </row>
    <row r="4" spans="1:17" x14ac:dyDescent="0.2">
      <c r="A4" s="1" t="s">
        <v>84</v>
      </c>
      <c r="B4" s="58" t="s">
        <v>8</v>
      </c>
    </row>
    <row r="5" spans="1:17" x14ac:dyDescent="0.2">
      <c r="A5" s="1" t="s">
        <v>87</v>
      </c>
      <c r="B5" s="58" t="s">
        <v>11</v>
      </c>
    </row>
    <row r="6" spans="1:17" ht="25.5" x14ac:dyDescent="0.2">
      <c r="A6" s="1" t="s">
        <v>175</v>
      </c>
      <c r="B6" s="58" t="s">
        <v>12</v>
      </c>
    </row>
    <row r="7" spans="1:17" ht="38.25" x14ac:dyDescent="0.2">
      <c r="A7" s="1" t="s">
        <v>176</v>
      </c>
      <c r="B7" s="58" t="s">
        <v>13</v>
      </c>
    </row>
    <row r="8" spans="1:17" x14ac:dyDescent="0.2">
      <c r="A8" s="1" t="s">
        <v>162</v>
      </c>
      <c r="B8" s="62" t="s">
        <v>14</v>
      </c>
      <c r="C8" s="35"/>
    </row>
    <row r="9" spans="1:17" ht="25.5" x14ac:dyDescent="0.2">
      <c r="A9" s="1" t="s">
        <v>177</v>
      </c>
      <c r="B9" s="58" t="s">
        <v>15</v>
      </c>
      <c r="C9" s="35"/>
    </row>
    <row r="10" spans="1:17" x14ac:dyDescent="0.2">
      <c r="A10" s="1" t="s">
        <v>178</v>
      </c>
      <c r="B10" s="58" t="s">
        <v>16</v>
      </c>
      <c r="C10" s="35"/>
    </row>
    <row r="11" spans="1:17" x14ac:dyDescent="0.2">
      <c r="A11" s="1" t="s">
        <v>179</v>
      </c>
      <c r="B11" s="58" t="s">
        <v>9</v>
      </c>
      <c r="C11" s="35"/>
    </row>
    <row r="12" spans="1:17" ht="25.5" x14ac:dyDescent="0.2">
      <c r="A12" s="1" t="s">
        <v>180</v>
      </c>
      <c r="B12" s="58" t="s">
        <v>10</v>
      </c>
      <c r="C12" s="35"/>
    </row>
    <row r="13" spans="1:17" x14ac:dyDescent="0.2">
      <c r="A13" s="1" t="s">
        <v>181</v>
      </c>
      <c r="B13" s="58" t="s">
        <v>17</v>
      </c>
      <c r="C13" s="35"/>
      <c r="I13" s="255"/>
    </row>
    <row r="14" spans="1:17" x14ac:dyDescent="0.2">
      <c r="A14" s="1" t="s">
        <v>182</v>
      </c>
      <c r="B14" s="58" t="s">
        <v>18</v>
      </c>
      <c r="C14" s="35"/>
    </row>
    <row r="15" spans="1:17" x14ac:dyDescent="0.2">
      <c r="A15" s="1" t="s">
        <v>183</v>
      </c>
      <c r="B15" s="58" t="s">
        <v>19</v>
      </c>
      <c r="C15" s="35"/>
    </row>
    <row r="16" spans="1:17" ht="38.25" x14ac:dyDescent="0.2">
      <c r="A16" s="1" t="s">
        <v>184</v>
      </c>
      <c r="B16" s="58" t="s">
        <v>20</v>
      </c>
      <c r="C16" s="35"/>
    </row>
    <row r="17" spans="1:3" ht="25.5" x14ac:dyDescent="0.2">
      <c r="A17" s="1" t="s">
        <v>185</v>
      </c>
      <c r="B17" s="58" t="s">
        <v>21</v>
      </c>
      <c r="C17" s="35"/>
    </row>
    <row r="18" spans="1:3" x14ac:dyDescent="0.2">
      <c r="A18" s="1" t="s">
        <v>186</v>
      </c>
      <c r="B18" s="58" t="s">
        <v>22</v>
      </c>
      <c r="C18" s="35"/>
    </row>
    <row r="19" spans="1:3" x14ac:dyDescent="0.2">
      <c r="A19" s="1" t="s">
        <v>187</v>
      </c>
      <c r="B19" s="58" t="s">
        <v>23</v>
      </c>
      <c r="C19" s="35"/>
    </row>
    <row r="20" spans="1:3" ht="25.5" x14ac:dyDescent="0.2">
      <c r="A20" s="1" t="s">
        <v>188</v>
      </c>
      <c r="B20" s="58" t="s">
        <v>24</v>
      </c>
      <c r="C20" s="35"/>
    </row>
    <row r="21" spans="1:3" x14ac:dyDescent="0.2">
      <c r="A21" s="1" t="s">
        <v>144</v>
      </c>
      <c r="B21" s="62" t="s">
        <v>29</v>
      </c>
      <c r="C21" s="35"/>
    </row>
    <row r="22" spans="1:3" x14ac:dyDescent="0.2">
      <c r="A22" s="1" t="s">
        <v>145</v>
      </c>
      <c r="B22" s="58" t="s">
        <v>25</v>
      </c>
      <c r="C22" s="35"/>
    </row>
    <row r="23" spans="1:3" x14ac:dyDescent="0.2">
      <c r="A23" s="1" t="s">
        <v>147</v>
      </c>
      <c r="B23" s="58" t="s">
        <v>26</v>
      </c>
      <c r="C23" s="35"/>
    </row>
    <row r="24" spans="1:3" ht="25.5" x14ac:dyDescent="0.2">
      <c r="A24" s="1" t="s">
        <v>149</v>
      </c>
      <c r="B24" s="58" t="s">
        <v>27</v>
      </c>
      <c r="C24" s="35"/>
    </row>
    <row r="25" spans="1:3" ht="25.5" x14ac:dyDescent="0.2">
      <c r="A25" s="1" t="s">
        <v>150</v>
      </c>
      <c r="B25" s="58" t="s">
        <v>28</v>
      </c>
      <c r="C25" s="35"/>
    </row>
    <row r="26" spans="1:3" x14ac:dyDescent="0.2">
      <c r="A26" s="1" t="s">
        <v>152</v>
      </c>
      <c r="B26" s="58" t="s">
        <v>9</v>
      </c>
      <c r="C26" s="35"/>
    </row>
    <row r="27" spans="1:3" ht="25.5" x14ac:dyDescent="0.2">
      <c r="A27" s="1" t="s">
        <v>154</v>
      </c>
      <c r="B27" s="58" t="s">
        <v>10</v>
      </c>
      <c r="C27" s="35"/>
    </row>
    <row r="28" spans="1:3" s="39" customFormat="1" ht="13.5" thickBot="1" x14ac:dyDescent="0.25">
      <c r="A28" s="65"/>
      <c r="B28" s="66" t="s">
        <v>312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B1" sqref="B1"/>
    </sheetView>
  </sheetViews>
  <sheetFormatPr defaultRowHeight="12.75" x14ac:dyDescent="0.2"/>
  <cols>
    <col min="1" max="1" width="0.42578125" style="45" hidden="1" customWidth="1"/>
    <col min="2" max="2" width="8.7109375" style="45" customWidth="1"/>
    <col min="3" max="3" width="50" style="45" customWidth="1"/>
    <col min="4" max="4" width="16.140625" style="18" customWidth="1"/>
    <col min="5" max="9" width="6.28515625" style="18" customWidth="1"/>
    <col min="10" max="11" width="7" style="18" customWidth="1"/>
    <col min="12" max="12" width="9.7109375" style="18" customWidth="1"/>
    <col min="13" max="41" width="6.28515625" style="18" customWidth="1"/>
    <col min="42" max="16384" width="9.140625" style="18"/>
  </cols>
  <sheetData>
    <row r="1" spans="1:4" x14ac:dyDescent="0.2">
      <c r="A1" s="15"/>
      <c r="B1" s="15" t="s">
        <v>72</v>
      </c>
      <c r="C1" s="16" t="s">
        <v>313</v>
      </c>
      <c r="D1" s="16" t="s">
        <v>299</v>
      </c>
    </row>
    <row r="2" spans="1:4" s="42" customFormat="1" x14ac:dyDescent="0.2">
      <c r="A2" s="73"/>
      <c r="B2" s="73" t="s">
        <v>389</v>
      </c>
      <c r="C2" s="74" t="s">
        <v>297</v>
      </c>
      <c r="D2" s="88"/>
    </row>
    <row r="3" spans="1:4" x14ac:dyDescent="0.2">
      <c r="A3" s="89" t="s">
        <v>395</v>
      </c>
      <c r="B3" s="89" t="s">
        <v>204</v>
      </c>
      <c r="C3" s="90" t="str">
        <f>VLOOKUP(B3,Справочники!$A:$B,2,FALSE)</f>
        <v>Пластины</v>
      </c>
      <c r="D3" s="95">
        <v>200</v>
      </c>
    </row>
    <row r="4" spans="1:4" s="42" customFormat="1" x14ac:dyDescent="0.2">
      <c r="A4" s="76"/>
      <c r="B4" s="76" t="s">
        <v>390</v>
      </c>
      <c r="C4" s="77" t="s">
        <v>393</v>
      </c>
      <c r="D4" s="91">
        <f>SUM(D5:D15)</f>
        <v>8250</v>
      </c>
    </row>
    <row r="5" spans="1:4" x14ac:dyDescent="0.2">
      <c r="A5" s="89" t="s">
        <v>396</v>
      </c>
      <c r="B5" s="89" t="s">
        <v>190</v>
      </c>
      <c r="C5" s="90" t="str">
        <f>VLOOKUP(B5,Справочники!$A:$B,2,FALSE)</f>
        <v>Цех допечатной подготовки</v>
      </c>
      <c r="D5" s="95">
        <v>500</v>
      </c>
    </row>
    <row r="6" spans="1:4" x14ac:dyDescent="0.2">
      <c r="A6" s="89" t="s">
        <v>397</v>
      </c>
      <c r="B6" s="89" t="s">
        <v>191</v>
      </c>
      <c r="C6" s="90" t="str">
        <f>VLOOKUP(B6,Справочники!$A:$B,2,FALSE)</f>
        <v>Печатная машина КВА 72</v>
      </c>
      <c r="D6" s="95">
        <v>550</v>
      </c>
    </row>
    <row r="7" spans="1:4" x14ac:dyDescent="0.2">
      <c r="A7" s="89" t="s">
        <v>407</v>
      </c>
      <c r="B7" s="89" t="s">
        <v>192</v>
      </c>
      <c r="C7" s="90" t="str">
        <f>VLOOKUP(B7,Справочники!$A:$B,2,FALSE)</f>
        <v>Печатная машина КВА 105</v>
      </c>
      <c r="D7" s="95">
        <v>600</v>
      </c>
    </row>
    <row r="8" spans="1:4" x14ac:dyDescent="0.2">
      <c r="A8" s="89" t="s">
        <v>399</v>
      </c>
      <c r="B8" s="89" t="s">
        <v>193</v>
      </c>
      <c r="C8" s="90" t="str">
        <f>VLOOKUP(B8,Справочники!$A:$B,2,FALSE)</f>
        <v>Печатная машина Роланд 705 1</v>
      </c>
      <c r="D8" s="95">
        <v>650</v>
      </c>
    </row>
    <row r="9" spans="1:4" x14ac:dyDescent="0.2">
      <c r="A9" s="89" t="s">
        <v>400</v>
      </c>
      <c r="B9" s="89" t="s">
        <v>194</v>
      </c>
      <c r="C9" s="90" t="str">
        <f>VLOOKUP(B9,Справочники!$A:$B,2,FALSE)</f>
        <v>Печатная машина Роланд 705 2</v>
      </c>
      <c r="D9" s="95">
        <v>700</v>
      </c>
    </row>
    <row r="10" spans="1:4" x14ac:dyDescent="0.2">
      <c r="A10" s="89" t="s">
        <v>401</v>
      </c>
      <c r="B10" s="89" t="s">
        <v>195</v>
      </c>
      <c r="C10" s="90" t="str">
        <f>VLOOKUP(B10,Справочники!$A:$B,2,FALSE)</f>
        <v>Печатная машина Роланд 204</v>
      </c>
      <c r="D10" s="95">
        <v>750</v>
      </c>
    </row>
    <row r="11" spans="1:4" x14ac:dyDescent="0.2">
      <c r="A11" s="89" t="s">
        <v>402</v>
      </c>
      <c r="B11" s="89" t="s">
        <v>196</v>
      </c>
      <c r="C11" s="90" t="str">
        <f>VLOOKUP(B11,Справочники!$A:$B,2,FALSE)</f>
        <v>Ножевая резка бумаги</v>
      </c>
      <c r="D11" s="95">
        <v>800</v>
      </c>
    </row>
    <row r="12" spans="1:4" x14ac:dyDescent="0.2">
      <c r="A12" s="89" t="s">
        <v>403</v>
      </c>
      <c r="B12" s="89" t="s">
        <v>197</v>
      </c>
      <c r="C12" s="90" t="str">
        <f>VLOOKUP(B12,Справочники!$A:$B,2,FALSE)</f>
        <v>Высечка</v>
      </c>
      <c r="D12" s="95">
        <v>850</v>
      </c>
    </row>
    <row r="13" spans="1:4" x14ac:dyDescent="0.2">
      <c r="A13" s="89" t="s">
        <v>404</v>
      </c>
      <c r="B13" s="89" t="s">
        <v>198</v>
      </c>
      <c r="C13" s="90" t="str">
        <f>VLOOKUP(B13,Справочники!$A:$B,2,FALSE)</f>
        <v>Фальцовка</v>
      </c>
      <c r="D13" s="95">
        <v>900</v>
      </c>
    </row>
    <row r="14" spans="1:4" x14ac:dyDescent="0.2">
      <c r="A14" s="89" t="s">
        <v>405</v>
      </c>
      <c r="B14" s="89" t="s">
        <v>199</v>
      </c>
      <c r="C14" s="90" t="str">
        <f>VLOOKUP(B14,Справочники!$A:$B,2,FALSE)</f>
        <v>Биговка, перфорация и вырубка</v>
      </c>
      <c r="D14" s="95">
        <v>950</v>
      </c>
    </row>
    <row r="15" spans="1:4" x14ac:dyDescent="0.2">
      <c r="A15" s="89" t="s">
        <v>406</v>
      </c>
      <c r="B15" s="89" t="s">
        <v>200</v>
      </c>
      <c r="C15" s="90" t="str">
        <f>VLOOKUP(B15,Справочники!$A:$B,2,FALSE)</f>
        <v>ВШРА</v>
      </c>
      <c r="D15" s="95">
        <v>1000</v>
      </c>
    </row>
    <row r="16" spans="1:4" s="42" customFormat="1" x14ac:dyDescent="0.2">
      <c r="A16" s="76"/>
      <c r="B16" s="76" t="s">
        <v>391</v>
      </c>
      <c r="C16" s="77" t="s">
        <v>338</v>
      </c>
      <c r="D16" s="91">
        <f>SUM(D17:D21)</f>
        <v>115000</v>
      </c>
    </row>
    <row r="17" spans="1:4" x14ac:dyDescent="0.2">
      <c r="A17" s="92" t="s">
        <v>398</v>
      </c>
      <c r="B17" s="92" t="s">
        <v>191</v>
      </c>
      <c r="C17" s="93" t="str">
        <f>VLOOKUP(B17,Справочники!$A:$B,2,FALSE)</f>
        <v>Печатная машина КВА 72</v>
      </c>
      <c r="D17" s="95">
        <v>21000</v>
      </c>
    </row>
    <row r="18" spans="1:4" x14ac:dyDescent="0.2">
      <c r="A18" s="92" t="s">
        <v>408</v>
      </c>
      <c r="B18" s="92" t="s">
        <v>192</v>
      </c>
      <c r="C18" s="93" t="str">
        <f>VLOOKUP(B18,Справочники!$A:$B,2,FALSE)</f>
        <v>Печатная машина КВА 105</v>
      </c>
      <c r="D18" s="95">
        <v>22000</v>
      </c>
    </row>
    <row r="19" spans="1:4" x14ac:dyDescent="0.2">
      <c r="A19" s="92" t="s">
        <v>409</v>
      </c>
      <c r="B19" s="92" t="s">
        <v>193</v>
      </c>
      <c r="C19" s="93" t="str">
        <f>VLOOKUP(B19,Справочники!$A:$B,2,FALSE)</f>
        <v>Печатная машина Роланд 705 1</v>
      </c>
      <c r="D19" s="95">
        <v>23000</v>
      </c>
    </row>
    <row r="20" spans="1:4" x14ac:dyDescent="0.2">
      <c r="A20" s="92" t="s">
        <v>410</v>
      </c>
      <c r="B20" s="92" t="s">
        <v>194</v>
      </c>
      <c r="C20" s="93" t="str">
        <f>VLOOKUP(B20,Справочники!$A:$B,2,FALSE)</f>
        <v>Печатная машина Роланд 705 2</v>
      </c>
      <c r="D20" s="95">
        <v>24000</v>
      </c>
    </row>
    <row r="21" spans="1:4" x14ac:dyDescent="0.2">
      <c r="A21" s="92" t="s">
        <v>411</v>
      </c>
      <c r="B21" s="92" t="s">
        <v>195</v>
      </c>
      <c r="C21" s="93" t="str">
        <f>VLOOKUP(B21,Справочники!$A:$B,2,FALSE)</f>
        <v>Печатная машина Роланд 204</v>
      </c>
      <c r="D21" s="95">
        <v>25000</v>
      </c>
    </row>
    <row r="22" spans="1:4" s="42" customFormat="1" x14ac:dyDescent="0.2">
      <c r="A22" s="183" t="s">
        <v>392</v>
      </c>
      <c r="B22" s="183" t="s">
        <v>392</v>
      </c>
      <c r="C22" s="94" t="s">
        <v>394</v>
      </c>
      <c r="D22" s="182">
        <v>120000</v>
      </c>
    </row>
    <row r="31" spans="1:4" x14ac:dyDescent="0.2">
      <c r="C31" s="18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zoomScale="80" workbookViewId="0">
      <selection activeCell="F12" sqref="F12"/>
    </sheetView>
  </sheetViews>
  <sheetFormatPr defaultRowHeight="12.75" x14ac:dyDescent="0.2"/>
  <cols>
    <col min="1" max="1" width="33.140625" style="5" customWidth="1"/>
    <col min="2" max="2" width="13.28515625" style="5" customWidth="1"/>
    <col min="3" max="9" width="12.7109375" style="5" customWidth="1"/>
    <col min="10" max="10" width="14.7109375" style="5" customWidth="1"/>
    <col min="11" max="11" width="12.7109375" style="5" customWidth="1"/>
    <col min="12" max="16384" width="9.140625" style="5"/>
  </cols>
  <sheetData>
    <row r="2" spans="1:12" s="6" customFormat="1" ht="39" x14ac:dyDescent="0.25">
      <c r="A2" s="22" t="s">
        <v>64</v>
      </c>
      <c r="B2" s="22" t="s">
        <v>92</v>
      </c>
      <c r="C2" s="7" t="s">
        <v>32</v>
      </c>
      <c r="D2" s="23" t="s">
        <v>95</v>
      </c>
      <c r="E2" s="7" t="s">
        <v>38</v>
      </c>
      <c r="F2" s="7" t="s">
        <v>40</v>
      </c>
      <c r="G2" s="7" t="s">
        <v>43</v>
      </c>
      <c r="H2" s="7" t="s">
        <v>44</v>
      </c>
      <c r="I2" s="7" t="s">
        <v>45</v>
      </c>
      <c r="J2" s="7" t="s">
        <v>93</v>
      </c>
      <c r="L2" s="14"/>
    </row>
    <row r="3" spans="1:12" s="6" customFormat="1" ht="15.75" x14ac:dyDescent="0.25">
      <c r="A3" s="28" t="s">
        <v>96</v>
      </c>
      <c r="B3" s="29"/>
      <c r="C3" s="29"/>
      <c r="D3" s="29"/>
      <c r="E3" s="29"/>
      <c r="F3" s="29"/>
      <c r="G3" s="29"/>
      <c r="H3" s="29"/>
      <c r="I3" s="29"/>
      <c r="J3" s="30"/>
      <c r="L3" s="14"/>
    </row>
    <row r="4" spans="1:12" ht="15.75" x14ac:dyDescent="0.25">
      <c r="A4" s="24" t="s">
        <v>0</v>
      </c>
      <c r="B4" s="25"/>
      <c r="C4" s="9" t="s">
        <v>91</v>
      </c>
      <c r="D4" s="25"/>
      <c r="E4" s="25"/>
      <c r="F4" s="25"/>
      <c r="G4" s="25"/>
      <c r="H4" s="25"/>
      <c r="I4" s="25"/>
      <c r="J4" s="26"/>
    </row>
    <row r="5" spans="1:12" ht="31.5" x14ac:dyDescent="0.25">
      <c r="A5" s="24" t="s">
        <v>31</v>
      </c>
      <c r="B5" s="25"/>
      <c r="C5" s="9" t="s">
        <v>91</v>
      </c>
      <c r="D5" s="9"/>
      <c r="E5" s="9"/>
      <c r="F5" s="9"/>
      <c r="G5" s="9"/>
      <c r="H5" s="9"/>
      <c r="I5" s="9"/>
      <c r="J5" s="26"/>
    </row>
    <row r="6" spans="1:12" ht="15.75" x14ac:dyDescent="0.25">
      <c r="A6" s="24" t="s">
        <v>1</v>
      </c>
      <c r="B6" s="25"/>
      <c r="C6" s="9"/>
      <c r="D6" s="9" t="s">
        <v>91</v>
      </c>
      <c r="E6" s="9"/>
      <c r="F6" s="9"/>
      <c r="G6" s="9"/>
      <c r="H6" s="9"/>
      <c r="I6" s="9"/>
      <c r="J6" s="26"/>
    </row>
    <row r="7" spans="1:12" ht="15.75" x14ac:dyDescent="0.25">
      <c r="A7" s="24" t="s">
        <v>2</v>
      </c>
      <c r="B7" s="25"/>
      <c r="C7" s="9"/>
      <c r="D7" s="9"/>
      <c r="E7" s="9"/>
      <c r="F7" s="9"/>
      <c r="G7" s="9"/>
      <c r="H7" s="9"/>
      <c r="I7" s="9"/>
      <c r="J7" s="10" t="s">
        <v>91</v>
      </c>
    </row>
    <row r="8" spans="1:12" ht="15.75" x14ac:dyDescent="0.25">
      <c r="A8" s="24" t="s">
        <v>3</v>
      </c>
      <c r="B8" s="25"/>
      <c r="C8" s="9"/>
      <c r="D8" s="9" t="s">
        <v>91</v>
      </c>
      <c r="E8" s="9"/>
      <c r="F8" s="9"/>
      <c r="G8" s="9"/>
      <c r="H8" s="9"/>
      <c r="I8" s="9"/>
      <c r="J8" s="10"/>
    </row>
    <row r="9" spans="1:12" ht="15.75" x14ac:dyDescent="0.25">
      <c r="A9" s="24" t="s">
        <v>47</v>
      </c>
      <c r="B9" s="25"/>
      <c r="C9" s="9" t="s">
        <v>91</v>
      </c>
      <c r="D9" s="9" t="s">
        <v>91</v>
      </c>
      <c r="E9" s="9"/>
      <c r="F9" s="9"/>
      <c r="G9" s="9"/>
      <c r="H9" s="9"/>
      <c r="I9" s="9"/>
      <c r="J9" s="26"/>
    </row>
    <row r="10" spans="1:12" ht="15.75" x14ac:dyDescent="0.25">
      <c r="A10" s="24" t="s">
        <v>4</v>
      </c>
      <c r="B10" s="25"/>
      <c r="C10" s="9"/>
      <c r="D10" s="9" t="s">
        <v>91</v>
      </c>
      <c r="E10" s="9"/>
      <c r="F10" s="9"/>
      <c r="G10" s="9"/>
      <c r="H10" s="9"/>
      <c r="I10" s="9"/>
      <c r="J10" s="10"/>
    </row>
    <row r="11" spans="1:12" ht="15.75" x14ac:dyDescent="0.25">
      <c r="A11" s="24" t="s">
        <v>5</v>
      </c>
      <c r="B11" s="25"/>
      <c r="C11" s="9"/>
      <c r="D11" s="9"/>
      <c r="E11" s="9"/>
      <c r="F11" s="9"/>
      <c r="G11" s="9"/>
      <c r="H11" s="9"/>
      <c r="I11" s="9" t="s">
        <v>91</v>
      </c>
      <c r="J11" s="10"/>
    </row>
    <row r="12" spans="1:12" ht="31.5" x14ac:dyDescent="0.25">
      <c r="A12" s="24" t="s">
        <v>6</v>
      </c>
      <c r="B12" s="25"/>
      <c r="C12" s="9"/>
      <c r="D12" s="9"/>
      <c r="E12" s="9"/>
      <c r="F12" s="9"/>
      <c r="G12" s="9"/>
      <c r="H12" s="9"/>
      <c r="I12" s="9"/>
      <c r="J12" s="10" t="s">
        <v>91</v>
      </c>
    </row>
    <row r="13" spans="1:12" ht="15.75" x14ac:dyDescent="0.25">
      <c r="A13" s="24" t="s">
        <v>9</v>
      </c>
      <c r="B13" s="25"/>
      <c r="C13" s="9" t="s">
        <v>91</v>
      </c>
      <c r="D13" s="9" t="s">
        <v>91</v>
      </c>
      <c r="E13" s="9" t="s">
        <v>91</v>
      </c>
      <c r="F13" s="9" t="s">
        <v>91</v>
      </c>
      <c r="G13" s="9" t="s">
        <v>91</v>
      </c>
      <c r="H13" s="9" t="s">
        <v>91</v>
      </c>
      <c r="I13" s="9" t="s">
        <v>91</v>
      </c>
      <c r="J13" s="26"/>
    </row>
    <row r="14" spans="1:12" ht="31.5" x14ac:dyDescent="0.25">
      <c r="A14" s="24" t="s">
        <v>10</v>
      </c>
      <c r="B14" s="25"/>
      <c r="C14" s="9" t="s">
        <v>91</v>
      </c>
      <c r="D14" s="9" t="s">
        <v>91</v>
      </c>
      <c r="E14" s="9" t="s">
        <v>91</v>
      </c>
      <c r="F14" s="9" t="s">
        <v>91</v>
      </c>
      <c r="G14" s="9" t="s">
        <v>91</v>
      </c>
      <c r="H14" s="9" t="s">
        <v>91</v>
      </c>
      <c r="I14" s="9" t="s">
        <v>91</v>
      </c>
      <c r="J14" s="26"/>
    </row>
    <row r="15" spans="1:12" ht="31.5" x14ac:dyDescent="0.25">
      <c r="A15" s="24" t="s">
        <v>7</v>
      </c>
      <c r="B15" s="25"/>
      <c r="C15" s="9"/>
      <c r="D15" s="9"/>
      <c r="E15" s="9"/>
      <c r="F15" s="9"/>
      <c r="G15" s="9"/>
      <c r="H15" s="9"/>
      <c r="I15" s="9"/>
      <c r="J15" s="10" t="s">
        <v>91</v>
      </c>
    </row>
    <row r="16" spans="1:12" ht="15.75" x14ac:dyDescent="0.25">
      <c r="A16" s="28" t="s">
        <v>97</v>
      </c>
      <c r="B16" s="29"/>
      <c r="C16" s="31"/>
      <c r="D16" s="31"/>
      <c r="E16" s="31"/>
      <c r="F16" s="31"/>
      <c r="G16" s="31"/>
      <c r="H16" s="31"/>
      <c r="I16" s="31"/>
      <c r="J16" s="32"/>
    </row>
    <row r="17" spans="1:10" ht="15.75" x14ac:dyDescent="0.25">
      <c r="A17" s="24" t="s">
        <v>8</v>
      </c>
      <c r="B17" s="25"/>
      <c r="C17" s="9" t="s">
        <v>91</v>
      </c>
      <c r="D17" s="9" t="s">
        <v>91</v>
      </c>
      <c r="E17" s="9" t="s">
        <v>91</v>
      </c>
      <c r="F17" s="9" t="s">
        <v>91</v>
      </c>
      <c r="G17" s="9" t="s">
        <v>91</v>
      </c>
      <c r="H17" s="9" t="s">
        <v>91</v>
      </c>
      <c r="I17" s="9" t="s">
        <v>91</v>
      </c>
      <c r="J17" s="26"/>
    </row>
    <row r="18" spans="1:10" ht="15.75" x14ac:dyDescent="0.25">
      <c r="A18" s="24" t="s">
        <v>11</v>
      </c>
      <c r="B18" s="25"/>
      <c r="C18" s="9" t="s">
        <v>91</v>
      </c>
      <c r="D18" s="9" t="s">
        <v>91</v>
      </c>
      <c r="E18" s="9" t="s">
        <v>91</v>
      </c>
      <c r="F18" s="9" t="s">
        <v>91</v>
      </c>
      <c r="G18" s="9" t="s">
        <v>91</v>
      </c>
      <c r="H18" s="9" t="s">
        <v>91</v>
      </c>
      <c r="I18" s="9" t="s">
        <v>91</v>
      </c>
      <c r="J18" s="26"/>
    </row>
    <row r="19" spans="1:10" ht="31.5" x14ac:dyDescent="0.25">
      <c r="A19" s="24" t="s">
        <v>12</v>
      </c>
      <c r="B19" s="25"/>
      <c r="C19" s="9" t="s">
        <v>91</v>
      </c>
      <c r="D19" s="9" t="s">
        <v>91</v>
      </c>
      <c r="E19" s="9" t="s">
        <v>91</v>
      </c>
      <c r="F19" s="9" t="s">
        <v>91</v>
      </c>
      <c r="G19" s="9" t="s">
        <v>91</v>
      </c>
      <c r="H19" s="9" t="s">
        <v>91</v>
      </c>
      <c r="I19" s="9" t="s">
        <v>91</v>
      </c>
      <c r="J19" s="26"/>
    </row>
    <row r="20" spans="1:10" ht="47.25" x14ac:dyDescent="0.25">
      <c r="A20" s="24" t="s">
        <v>13</v>
      </c>
      <c r="B20" s="25"/>
      <c r="C20" s="9" t="s">
        <v>91</v>
      </c>
      <c r="D20" s="9" t="s">
        <v>91</v>
      </c>
      <c r="E20" s="9" t="s">
        <v>91</v>
      </c>
      <c r="F20" s="9" t="s">
        <v>91</v>
      </c>
      <c r="G20" s="9" t="s">
        <v>91</v>
      </c>
      <c r="H20" s="9" t="s">
        <v>91</v>
      </c>
      <c r="I20" s="9" t="s">
        <v>91</v>
      </c>
      <c r="J20" s="26"/>
    </row>
    <row r="21" spans="1:10" ht="31.5" x14ac:dyDescent="0.25">
      <c r="A21" s="27" t="s">
        <v>94</v>
      </c>
      <c r="B21" s="33"/>
      <c r="C21" s="33"/>
      <c r="D21" s="33"/>
      <c r="E21" s="33"/>
      <c r="F21" s="33"/>
      <c r="G21" s="33"/>
      <c r="H21" s="33"/>
      <c r="I21" s="33"/>
      <c r="J21" s="34"/>
    </row>
    <row r="22" spans="1:10" ht="15.75" x14ac:dyDescent="0.25">
      <c r="B22" s="3"/>
      <c r="J22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2.75" x14ac:dyDescent="0.2"/>
  <cols>
    <col min="1" max="1" width="6.5703125" style="43" customWidth="1"/>
    <col min="2" max="2" width="50.85546875" style="43" customWidth="1"/>
    <col min="3" max="3" width="28.7109375" style="43" customWidth="1"/>
    <col min="4" max="4" width="8.5703125" style="107" customWidth="1"/>
    <col min="5" max="6" width="7" style="107" customWidth="1"/>
    <col min="7" max="7" width="9.7109375" style="107" customWidth="1"/>
    <col min="8" max="36" width="6.28515625" style="107" customWidth="1"/>
    <col min="37" max="16384" width="9.140625" style="107"/>
  </cols>
  <sheetData>
    <row r="1" spans="1:3" ht="12.75" customHeight="1" x14ac:dyDescent="0.2">
      <c r="A1" s="16" t="s">
        <v>72</v>
      </c>
      <c r="B1" s="16" t="s">
        <v>296</v>
      </c>
      <c r="C1" s="16" t="s">
        <v>299</v>
      </c>
    </row>
    <row r="2" spans="1:3" s="21" customFormat="1" x14ac:dyDescent="0.2">
      <c r="A2" s="73"/>
      <c r="B2" s="74" t="s">
        <v>314</v>
      </c>
      <c r="C2" s="75">
        <v>1</v>
      </c>
    </row>
    <row r="3" spans="1:3" s="21" customFormat="1" x14ac:dyDescent="0.2">
      <c r="A3" s="76"/>
      <c r="B3" s="77" t="s">
        <v>333</v>
      </c>
      <c r="C3" s="78" t="s">
        <v>350</v>
      </c>
    </row>
    <row r="4" spans="1:3" x14ac:dyDescent="0.2">
      <c r="A4" s="79" t="s">
        <v>206</v>
      </c>
      <c r="B4" s="8" t="str">
        <f>VLOOKUP(A4,Справочники!$A:$B,2,FALSE)</f>
        <v>Обычные пластины</v>
      </c>
      <c r="C4" s="140">
        <f>Пластины!G2</f>
        <v>3.7049999999999996</v>
      </c>
    </row>
    <row r="5" spans="1:3" s="21" customFormat="1" x14ac:dyDescent="0.2">
      <c r="A5" s="76"/>
      <c r="B5" s="77" t="s">
        <v>321</v>
      </c>
      <c r="C5" s="78" t="s">
        <v>320</v>
      </c>
    </row>
    <row r="6" spans="1:3" x14ac:dyDescent="0.2">
      <c r="A6" s="80" t="s">
        <v>207</v>
      </c>
      <c r="B6" s="8" t="str">
        <f>VLOOKUP(A6,Справочники!$A:$B,2,FALSE)</f>
        <v>Бумага</v>
      </c>
      <c r="C6" s="140">
        <f>Бумага!H2</f>
        <v>4</v>
      </c>
    </row>
    <row r="7" spans="1:3" s="21" customFormat="1" x14ac:dyDescent="0.2">
      <c r="A7" s="76"/>
      <c r="B7" s="77" t="s">
        <v>322</v>
      </c>
      <c r="C7" s="78" t="s">
        <v>319</v>
      </c>
    </row>
    <row r="8" spans="1:3" x14ac:dyDescent="0.2">
      <c r="A8" s="82" t="s">
        <v>191</v>
      </c>
      <c r="B8" s="8" t="str">
        <f>VLOOKUP(A8,Справочники!$A:$B,2,FALSE)</f>
        <v>Печатная машина КВА 72</v>
      </c>
      <c r="C8" s="108">
        <v>20</v>
      </c>
    </row>
    <row r="9" spans="1:3" s="21" customFormat="1" x14ac:dyDescent="0.2">
      <c r="A9" s="76"/>
      <c r="B9" s="77" t="s">
        <v>318</v>
      </c>
      <c r="C9" s="78" t="s">
        <v>317</v>
      </c>
    </row>
    <row r="10" spans="1:3" s="21" customFormat="1" x14ac:dyDescent="0.2">
      <c r="A10" s="8"/>
      <c r="B10" s="8" t="s">
        <v>358</v>
      </c>
      <c r="C10" s="140">
        <f>Краска!E2</f>
        <v>150</v>
      </c>
    </row>
    <row r="11" spans="1:3" s="21" customFormat="1" x14ac:dyDescent="0.2">
      <c r="A11" s="76"/>
      <c r="B11" s="77" t="s">
        <v>323</v>
      </c>
      <c r="C11" s="78" t="s">
        <v>319</v>
      </c>
    </row>
    <row r="12" spans="1:3" x14ac:dyDescent="0.2">
      <c r="A12" s="83" t="s">
        <v>190</v>
      </c>
      <c r="B12" s="8" t="str">
        <f>VLOOKUP(A12,Справочники!$A:$B,2,FALSE)</f>
        <v>Цех допечатной подготовки</v>
      </c>
      <c r="C12" s="108">
        <v>1</v>
      </c>
    </row>
    <row r="13" spans="1:3" x14ac:dyDescent="0.2">
      <c r="A13" s="83" t="s">
        <v>196</v>
      </c>
      <c r="B13" s="8" t="str">
        <f>VLOOKUP(A13,Справочники!$A:$B,2,FALSE)</f>
        <v>Ножевая резка бумаги</v>
      </c>
      <c r="C13" s="108">
        <v>7</v>
      </c>
    </row>
    <row r="14" spans="1:3" x14ac:dyDescent="0.2">
      <c r="A14" s="83" t="s">
        <v>197</v>
      </c>
      <c r="B14" s="8" t="str">
        <f>VLOOKUP(A14,Справочники!$A:$B,2,FALSE)</f>
        <v>Высечка</v>
      </c>
      <c r="C14" s="108">
        <v>8</v>
      </c>
    </row>
    <row r="15" spans="1:3" x14ac:dyDescent="0.2">
      <c r="A15" s="83" t="s">
        <v>198</v>
      </c>
      <c r="B15" s="8" t="str">
        <f>VLOOKUP(A15,Справочники!$A:$B,2,FALSE)</f>
        <v>Фальцовка</v>
      </c>
      <c r="C15" s="108">
        <v>9</v>
      </c>
    </row>
    <row r="16" spans="1:3" x14ac:dyDescent="0.2">
      <c r="A16" s="83" t="s">
        <v>199</v>
      </c>
      <c r="B16" s="8" t="str">
        <f>VLOOKUP(A16,Справочники!$A:$B,2,FALSE)</f>
        <v>Биговка, перфорация и вырубка</v>
      </c>
      <c r="C16" s="108">
        <v>10</v>
      </c>
    </row>
    <row r="17" spans="1:3" x14ac:dyDescent="0.2">
      <c r="A17" s="83" t="s">
        <v>200</v>
      </c>
      <c r="B17" s="8" t="str">
        <f>VLOOKUP(A17,Справочники!$A:$B,2,FALSE)</f>
        <v>ВШРА</v>
      </c>
      <c r="C17" s="108">
        <v>11</v>
      </c>
    </row>
    <row r="18" spans="1:3" s="21" customFormat="1" x14ac:dyDescent="0.2">
      <c r="A18" s="76"/>
      <c r="B18" s="77" t="s">
        <v>324</v>
      </c>
      <c r="C18" s="78" t="s">
        <v>325</v>
      </c>
    </row>
    <row r="19" spans="1:3" s="21" customFormat="1" x14ac:dyDescent="0.2">
      <c r="A19" s="179" t="s">
        <v>218</v>
      </c>
      <c r="B19" s="81" t="str">
        <f>VLOOKUP(A19,Справочники!$A:$B,2,FALSE)</f>
        <v>Производственные услуги сторонних организаций</v>
      </c>
      <c r="C19" s="179">
        <f>SUM(C20:C25)</f>
        <v>350</v>
      </c>
    </row>
    <row r="20" spans="1:3" x14ac:dyDescent="0.2">
      <c r="A20" s="82" t="s">
        <v>220</v>
      </c>
      <c r="B20" s="81" t="str">
        <f>VLOOKUP(A20,Справочники!$A:$B,2,FALSE)</f>
        <v>Дизайнерские услуги, предпечатная подготовка тиража</v>
      </c>
      <c r="C20" s="108">
        <v>350</v>
      </c>
    </row>
    <row r="21" spans="1:3" x14ac:dyDescent="0.2">
      <c r="A21" s="82" t="s">
        <v>222</v>
      </c>
      <c r="B21" s="81" t="str">
        <f>VLOOKUP(A21,Справочники!$A:$B,2,FALSE)</f>
        <v>Изготовление вырубных штампов</v>
      </c>
      <c r="C21" s="108"/>
    </row>
    <row r="22" spans="1:3" x14ac:dyDescent="0.2">
      <c r="A22" s="82" t="s">
        <v>223</v>
      </c>
      <c r="B22" s="81" t="str">
        <f>VLOOKUP(A22,Справочники!$A:$B,2,FALSE)</f>
        <v>УФ-лакировка тиража</v>
      </c>
      <c r="C22" s="108"/>
    </row>
    <row r="23" spans="1:3" x14ac:dyDescent="0.2">
      <c r="A23" s="82"/>
      <c r="B23" s="81" t="e">
        <f>VLOOKUP(A23,Справочники!$A:$B,2,FALSE)</f>
        <v>#N/A</v>
      </c>
      <c r="C23" s="108"/>
    </row>
    <row r="24" spans="1:3" x14ac:dyDescent="0.2">
      <c r="A24" s="82"/>
      <c r="B24" s="81" t="e">
        <f>VLOOKUP(A24,Справочники!$A:$B,2,FALSE)</f>
        <v>#N/A</v>
      </c>
      <c r="C24" s="108"/>
    </row>
    <row r="25" spans="1:3" x14ac:dyDescent="0.2">
      <c r="A25" s="82"/>
      <c r="B25" s="81" t="e">
        <f>VLOOKUP(A25,Справочники!$A:$B,2,FALSE)</f>
        <v>#N/A</v>
      </c>
      <c r="C25" s="108"/>
    </row>
    <row r="26" spans="1:3" s="21" customFormat="1" x14ac:dyDescent="0.2">
      <c r="A26" s="76"/>
      <c r="B26" s="77" t="s">
        <v>326</v>
      </c>
      <c r="C26" s="78" t="s">
        <v>315</v>
      </c>
    </row>
    <row r="27" spans="1:3" x14ac:dyDescent="0.2">
      <c r="A27" s="84" t="s">
        <v>170</v>
      </c>
      <c r="B27" s="85" t="str">
        <f>VLOOKUP(A27,Справочники!$A:$B,2,FALSE)</f>
        <v>Проволока для скрепления</v>
      </c>
      <c r="C27" s="109">
        <v>1000</v>
      </c>
    </row>
  </sheetData>
  <phoneticPr fontId="14" type="noConversion"/>
  <hyperlinks>
    <hyperlink ref="C4" location="Пластины!A1" display="Пластины!A1"/>
    <hyperlink ref="C6" location="Бумага!A1" display="Бумага!A1"/>
    <hyperlink ref="C10" location="Краска!E2" display="Краска!E2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Правила</vt:lpstr>
      <vt:lpstr>Справочники</vt:lpstr>
      <vt:lpstr>Нормы</vt:lpstr>
      <vt:lpstr>Цены</vt:lpstr>
      <vt:lpstr>Прогноз затрат</vt:lpstr>
      <vt:lpstr>Матр затрат</vt:lpstr>
      <vt:lpstr>Уровень деятельности</vt:lpstr>
      <vt:lpstr>Производств с-сть</vt:lpstr>
      <vt:lpstr>Парам заказа</vt:lpstr>
      <vt:lpstr>Калькуляция</vt:lpstr>
      <vt:lpstr>Пластины</vt:lpstr>
      <vt:lpstr>Бумага</vt:lpstr>
      <vt:lpstr>Краска</vt:lpstr>
      <vt:lpstr>Резина</vt:lpstr>
      <vt:lpstr>Возв отходы</vt:lpstr>
      <vt:lpstr>Химикаты</vt:lpstr>
      <vt:lpstr>Проволока</vt:lpstr>
      <vt:lpstr>Скотч и бум</vt:lpstr>
      <vt:lpstr>Основ зарплата</vt:lpstr>
      <vt:lpstr>Накл на заказ</vt:lpstr>
      <vt:lpstr>Лист3</vt:lpstr>
      <vt:lpstr>Анализ П-Ф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Economica.pro</dc:creator>
  <cp:lastModifiedBy>DELL</cp:lastModifiedBy>
  <cp:lastPrinted>2004-02-11T12:30:09Z</cp:lastPrinted>
  <dcterms:created xsi:type="dcterms:W3CDTF">2004-02-11T09:24:06Z</dcterms:created>
  <dcterms:modified xsi:type="dcterms:W3CDTF">2017-05-16T07:00:30Z</dcterms:modified>
</cp:coreProperties>
</file>