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DELL\Google Диск\Сайт_Исходные файлы\"/>
    </mc:Choice>
  </mc:AlternateContent>
  <bookViews>
    <workbookView xWindow="0" yWindow="0" windowWidth="20490" windowHeight="7530"/>
  </bookViews>
  <sheets>
    <sheet name="Параметры" sheetId="1" r:id="rId1"/>
    <sheet name="ТД1" sheetId="3" r:id="rId2"/>
    <sheet name="ТД2" sheetId="6" r:id="rId3"/>
    <sheet name="ТД3" sheetId="5" r:id="rId4"/>
    <sheet name="Производитель" sheetId="2" r:id="rId5"/>
    <sheet name="Консолидация" sheetId="4" r:id="rId6"/>
  </sheets>
  <definedNames>
    <definedName name="_xlnm.Print_Area" localSheetId="5">Консолидация!$B$1:$AA$28</definedName>
    <definedName name="_xlnm.Print_Area" localSheetId="0">Параметры!$A$1:$K$22</definedName>
    <definedName name="_xlnm.Print_Area" localSheetId="4">Производитель!$B$1:$G$30</definedName>
    <definedName name="_xlnm.Print_Area" localSheetId="1">ТД1!$B$1:$G$26</definedName>
    <definedName name="_xlnm.Print_Area" localSheetId="2">ТД2!$A$1:$G$26</definedName>
    <definedName name="_xlnm.Print_Area" localSheetId="3">ТД3!$B$1:$G$25</definedName>
  </definedNames>
  <calcPr calcId="162913"/>
</workbook>
</file>

<file path=xl/calcChain.xml><?xml version="1.0" encoding="utf-8"?>
<calcChain xmlns="http://schemas.openxmlformats.org/spreadsheetml/2006/main">
  <c r="F6" i="2" l="1"/>
  <c r="F8" i="2" s="1"/>
  <c r="F9" i="2" s="1"/>
  <c r="F7" i="2"/>
  <c r="F27" i="2"/>
  <c r="F5" i="4"/>
  <c r="F10" i="4"/>
  <c r="F6" i="4"/>
  <c r="F8" i="4"/>
  <c r="F28" i="2"/>
  <c r="F12" i="4" s="1"/>
  <c r="C6" i="2"/>
  <c r="C5" i="4"/>
  <c r="C7" i="2"/>
  <c r="C6" i="4"/>
  <c r="C7" i="4" s="1"/>
  <c r="D6" i="2"/>
  <c r="D5" i="4"/>
  <c r="D7" i="2"/>
  <c r="E6" i="2"/>
  <c r="E29" i="2" s="1"/>
  <c r="E5" i="4"/>
  <c r="E7" i="2"/>
  <c r="E6" i="4"/>
  <c r="E28" i="2"/>
  <c r="K5" i="4"/>
  <c r="K12" i="4" s="1"/>
  <c r="F7" i="3"/>
  <c r="K6" i="4"/>
  <c r="K7" i="4"/>
  <c r="F9" i="3"/>
  <c r="F16" i="3"/>
  <c r="H5" i="4"/>
  <c r="C7" i="3"/>
  <c r="H6" i="4"/>
  <c r="H7" i="4"/>
  <c r="C9" i="3"/>
  <c r="C16" i="3"/>
  <c r="I5" i="4"/>
  <c r="D7" i="3"/>
  <c r="I6" i="4"/>
  <c r="I7" i="4"/>
  <c r="I8" i="4"/>
  <c r="D9" i="3"/>
  <c r="D16" i="3"/>
  <c r="J5" i="4"/>
  <c r="J12" i="4" s="1"/>
  <c r="E7" i="3"/>
  <c r="J8" i="4"/>
  <c r="P5" i="4"/>
  <c r="P10" i="4" s="1"/>
  <c r="F7" i="6"/>
  <c r="P6" i="4" s="1"/>
  <c r="P7" i="4" s="1"/>
  <c r="F9" i="6"/>
  <c r="M5" i="4"/>
  <c r="C7" i="6"/>
  <c r="M6" i="4"/>
  <c r="M7" i="4"/>
  <c r="C9" i="6"/>
  <c r="C16" i="6"/>
  <c r="N5" i="4"/>
  <c r="D7" i="6"/>
  <c r="N6" i="4"/>
  <c r="N7" i="4"/>
  <c r="D9" i="6"/>
  <c r="O5" i="4"/>
  <c r="E7" i="6"/>
  <c r="O6" i="4"/>
  <c r="O7" i="4" s="1"/>
  <c r="E9" i="6"/>
  <c r="E16" i="6"/>
  <c r="U5" i="4"/>
  <c r="F7" i="5"/>
  <c r="U6" i="4"/>
  <c r="U7" i="4"/>
  <c r="F9" i="5"/>
  <c r="F16" i="5"/>
  <c r="R5" i="4"/>
  <c r="C7" i="5"/>
  <c r="R6" i="4"/>
  <c r="R7" i="4"/>
  <c r="C9" i="5"/>
  <c r="C16" i="5"/>
  <c r="S5" i="4"/>
  <c r="D7" i="5"/>
  <c r="S8" i="4"/>
  <c r="T5" i="4"/>
  <c r="E7" i="5"/>
  <c r="E9" i="5" s="1"/>
  <c r="T6" i="4"/>
  <c r="T7" i="4" s="1"/>
  <c r="T8" i="4"/>
  <c r="AA17" i="4"/>
  <c r="L19" i="4"/>
  <c r="Q19" i="4"/>
  <c r="AA19" i="4"/>
  <c r="V19" i="4"/>
  <c r="L21" i="4"/>
  <c r="Q21" i="4"/>
  <c r="AA21" i="4" s="1"/>
  <c r="V21" i="4"/>
  <c r="F10" i="3"/>
  <c r="F11" i="3" s="1"/>
  <c r="F13" i="3" s="1"/>
  <c r="F15" i="3" s="1"/>
  <c r="F17" i="3" s="1"/>
  <c r="F19" i="3" s="1"/>
  <c r="C10" i="3"/>
  <c r="C11" i="3" s="1"/>
  <c r="D10" i="3"/>
  <c r="D11" i="3"/>
  <c r="D13" i="3" s="1"/>
  <c r="D15" i="3" s="1"/>
  <c r="D17" i="3" s="1"/>
  <c r="D19" i="3" s="1"/>
  <c r="E10" i="3"/>
  <c r="G10" i="3" s="1"/>
  <c r="G18" i="3"/>
  <c r="F10" i="6"/>
  <c r="C10" i="6"/>
  <c r="D10" i="6"/>
  <c r="D11" i="6" s="1"/>
  <c r="D13" i="6" s="1"/>
  <c r="D15" i="6" s="1"/>
  <c r="D17" i="6" s="1"/>
  <c r="D19" i="6" s="1"/>
  <c r="E10" i="6"/>
  <c r="E11" i="6" s="1"/>
  <c r="E13" i="6" s="1"/>
  <c r="E15" i="6" s="1"/>
  <c r="E17" i="6" s="1"/>
  <c r="E19" i="6" s="1"/>
  <c r="G18" i="6"/>
  <c r="F10" i="5"/>
  <c r="F11" i="5"/>
  <c r="F13" i="5" s="1"/>
  <c r="F15" i="5" s="1"/>
  <c r="F17" i="5" s="1"/>
  <c r="F19" i="5" s="1"/>
  <c r="C10" i="5"/>
  <c r="D10" i="5"/>
  <c r="E10" i="5"/>
  <c r="G18" i="5"/>
  <c r="F10" i="2"/>
  <c r="F11" i="2" s="1"/>
  <c r="F13" i="2" s="1"/>
  <c r="F15" i="2" s="1"/>
  <c r="F17" i="2" s="1"/>
  <c r="D10" i="2"/>
  <c r="G7" i="2"/>
  <c r="G6" i="4" s="1"/>
  <c r="G7" i="4" s="1"/>
  <c r="G7" i="3"/>
  <c r="L6" i="4"/>
  <c r="L7" i="4" s="1"/>
  <c r="X5" i="4"/>
  <c r="G5" i="2"/>
  <c r="G5" i="4"/>
  <c r="G5" i="3"/>
  <c r="L5" i="4"/>
  <c r="G5" i="6"/>
  <c r="Q5" i="4"/>
  <c r="G5" i="5"/>
  <c r="V5" i="4"/>
  <c r="R3" i="4"/>
  <c r="M3" i="4"/>
  <c r="H3" i="4"/>
  <c r="C3" i="4"/>
  <c r="G16" i="2"/>
  <c r="G14" i="2"/>
  <c r="G12" i="2"/>
  <c r="G14" i="5"/>
  <c r="G12" i="5"/>
  <c r="G14" i="6"/>
  <c r="G12" i="6"/>
  <c r="G14" i="3"/>
  <c r="G12" i="3"/>
  <c r="W7" i="4"/>
  <c r="O8" i="4"/>
  <c r="D6" i="4"/>
  <c r="U12" i="4"/>
  <c r="T12" i="4"/>
  <c r="E8" i="4"/>
  <c r="C8" i="4"/>
  <c r="G7" i="6"/>
  <c r="Q6" i="4" s="1"/>
  <c r="D16" i="6"/>
  <c r="M8" i="4"/>
  <c r="I9" i="4"/>
  <c r="E8" i="2"/>
  <c r="E9" i="2" s="1"/>
  <c r="N8" i="4"/>
  <c r="N9" i="4" s="1"/>
  <c r="E7" i="4"/>
  <c r="C10" i="2"/>
  <c r="C29" i="2"/>
  <c r="C14" i="4" s="1"/>
  <c r="F29" i="2"/>
  <c r="H14" i="4"/>
  <c r="U14" i="4"/>
  <c r="K14" i="4"/>
  <c r="F14" i="4"/>
  <c r="Q7" i="4"/>
  <c r="D7" i="4"/>
  <c r="C9" i="4" l="1"/>
  <c r="T9" i="4"/>
  <c r="O9" i="4"/>
  <c r="Y8" i="4"/>
  <c r="E9" i="4"/>
  <c r="E11" i="5"/>
  <c r="E13" i="5" s="1"/>
  <c r="E15" i="5" s="1"/>
  <c r="E17" i="5" s="1"/>
  <c r="E19" i="5" s="1"/>
  <c r="E16" i="5"/>
  <c r="T14" i="4" s="1"/>
  <c r="Q8" i="4"/>
  <c r="AA5" i="4"/>
  <c r="R14" i="4"/>
  <c r="M9" i="4"/>
  <c r="M14" i="4"/>
  <c r="E27" i="2"/>
  <c r="P8" i="4"/>
  <c r="W6" i="4"/>
  <c r="G10" i="6"/>
  <c r="C11" i="6"/>
  <c r="G9" i="6"/>
  <c r="N10" i="4"/>
  <c r="N11" i="4" s="1"/>
  <c r="P12" i="4"/>
  <c r="Z12" i="4" s="1"/>
  <c r="H8" i="4"/>
  <c r="W5" i="4"/>
  <c r="S6" i="4"/>
  <c r="G7" i="5"/>
  <c r="V6" i="4" s="1"/>
  <c r="AA6" i="4" s="1"/>
  <c r="R8" i="4"/>
  <c r="E10" i="2"/>
  <c r="G10" i="2" s="1"/>
  <c r="C11" i="5"/>
  <c r="G10" i="5"/>
  <c r="C13" i="3"/>
  <c r="D9" i="5"/>
  <c r="U10" i="4"/>
  <c r="U8" i="4"/>
  <c r="U9" i="4" s="1"/>
  <c r="U11" i="4" s="1"/>
  <c r="U13" i="4" s="1"/>
  <c r="U15" i="4" s="1"/>
  <c r="U16" i="4" s="1"/>
  <c r="G16" i="6"/>
  <c r="P9" i="4"/>
  <c r="P11" i="4" s="1"/>
  <c r="P13" i="4" s="1"/>
  <c r="J6" i="4"/>
  <c r="E9" i="3"/>
  <c r="I10" i="4"/>
  <c r="I11" i="4" s="1"/>
  <c r="D8" i="4"/>
  <c r="F7" i="4"/>
  <c r="Z6" i="4"/>
  <c r="K10" i="4"/>
  <c r="Z10" i="4" s="1"/>
  <c r="K8" i="4"/>
  <c r="Z5" i="4"/>
  <c r="Y5" i="4"/>
  <c r="E14" i="4"/>
  <c r="D27" i="2"/>
  <c r="S10" i="4" s="1"/>
  <c r="D28" i="2"/>
  <c r="D8" i="2"/>
  <c r="D9" i="2" s="1"/>
  <c r="D11" i="2" s="1"/>
  <c r="D13" i="2" s="1"/>
  <c r="D15" i="2" s="1"/>
  <c r="D17" i="2" s="1"/>
  <c r="D29" i="2"/>
  <c r="C8" i="2"/>
  <c r="C27" i="2"/>
  <c r="R10" i="4" s="1"/>
  <c r="C28" i="2"/>
  <c r="R12" i="4" s="1"/>
  <c r="G6" i="2"/>
  <c r="F16" i="6"/>
  <c r="P14" i="4" s="1"/>
  <c r="Z14" i="4" s="1"/>
  <c r="F11" i="6"/>
  <c r="F13" i="6" s="1"/>
  <c r="F15" i="6" s="1"/>
  <c r="F17" i="6" s="1"/>
  <c r="F19" i="6" s="1"/>
  <c r="O12" i="4"/>
  <c r="E12" i="4"/>
  <c r="Y12" i="4" s="1"/>
  <c r="O14" i="4"/>
  <c r="G8" i="2" l="1"/>
  <c r="Z8" i="4"/>
  <c r="Q9" i="4"/>
  <c r="E11" i="2"/>
  <c r="E13" i="2" s="1"/>
  <c r="E15" i="2" s="1"/>
  <c r="E17" i="2" s="1"/>
  <c r="D12" i="4"/>
  <c r="S12" i="4"/>
  <c r="V12" i="4" s="1"/>
  <c r="I12" i="4"/>
  <c r="I13" i="4" s="1"/>
  <c r="I15" i="4" s="1"/>
  <c r="I16" i="4" s="1"/>
  <c r="Z7" i="4"/>
  <c r="F9" i="4"/>
  <c r="G9" i="3"/>
  <c r="E16" i="3"/>
  <c r="E11" i="3"/>
  <c r="C15" i="3"/>
  <c r="L8" i="4"/>
  <c r="W8" i="4"/>
  <c r="N12" i="4"/>
  <c r="N13" i="4" s="1"/>
  <c r="N15" i="4" s="1"/>
  <c r="N16" i="4" s="1"/>
  <c r="Q14" i="4"/>
  <c r="D14" i="4"/>
  <c r="I14" i="4"/>
  <c r="D10" i="4"/>
  <c r="X10" i="4" s="1"/>
  <c r="J7" i="4"/>
  <c r="Y6" i="4"/>
  <c r="C9" i="2"/>
  <c r="W14" i="4"/>
  <c r="C10" i="4"/>
  <c r="M10" i="4"/>
  <c r="X6" i="4"/>
  <c r="S7" i="4"/>
  <c r="K9" i="4"/>
  <c r="K11" i="4" s="1"/>
  <c r="K13" i="4" s="1"/>
  <c r="K15" i="4" s="1"/>
  <c r="K16" i="4" s="1"/>
  <c r="M12" i="4"/>
  <c r="Q12" i="4" s="1"/>
  <c r="C12" i="4"/>
  <c r="H12" i="4"/>
  <c r="X8" i="4"/>
  <c r="G8" i="4"/>
  <c r="D9" i="4"/>
  <c r="P15" i="4"/>
  <c r="P16" i="4" s="1"/>
  <c r="D16" i="5"/>
  <c r="G16" i="5" s="1"/>
  <c r="G9" i="5"/>
  <c r="D11" i="5"/>
  <c r="D13" i="5" s="1"/>
  <c r="D15" i="5" s="1"/>
  <c r="D17" i="5" s="1"/>
  <c r="D19" i="5" s="1"/>
  <c r="C13" i="5"/>
  <c r="V8" i="4"/>
  <c r="R9" i="4"/>
  <c r="H10" i="4"/>
  <c r="N14" i="4"/>
  <c r="C13" i="6"/>
  <c r="G11" i="6"/>
  <c r="O10" i="4"/>
  <c r="O11" i="4" s="1"/>
  <c r="O13" i="4" s="1"/>
  <c r="O15" i="4" s="1"/>
  <c r="O16" i="4" s="1"/>
  <c r="T10" i="4"/>
  <c r="T11" i="4" s="1"/>
  <c r="T13" i="4" s="1"/>
  <c r="T15" i="4" s="1"/>
  <c r="T16" i="4" s="1"/>
  <c r="E10" i="4"/>
  <c r="E11" i="4" s="1"/>
  <c r="J10" i="4"/>
  <c r="H9" i="4"/>
  <c r="E13" i="4" l="1"/>
  <c r="R11" i="4"/>
  <c r="W12" i="4"/>
  <c r="G12" i="4"/>
  <c r="G9" i="2"/>
  <c r="C11" i="2"/>
  <c r="C15" i="6"/>
  <c r="G13" i="6"/>
  <c r="AA8" i="4"/>
  <c r="Q10" i="4"/>
  <c r="C17" i="3"/>
  <c r="G11" i="5"/>
  <c r="G10" i="4"/>
  <c r="W10" i="4"/>
  <c r="C11" i="4"/>
  <c r="Y7" i="4"/>
  <c r="J9" i="4"/>
  <c r="L9" i="4" s="1"/>
  <c r="S14" i="4"/>
  <c r="V14" i="4" s="1"/>
  <c r="Z9" i="4"/>
  <c r="F11" i="4"/>
  <c r="X12" i="4"/>
  <c r="D11" i="4"/>
  <c r="G9" i="4"/>
  <c r="Y10" i="4"/>
  <c r="H11" i="4"/>
  <c r="W9" i="4"/>
  <c r="L10" i="4"/>
  <c r="C15" i="5"/>
  <c r="G13" i="5"/>
  <c r="L12" i="4"/>
  <c r="S9" i="4"/>
  <c r="S11" i="4" s="1"/>
  <c r="S13" i="4" s="1"/>
  <c r="S15" i="4" s="1"/>
  <c r="S16" i="4" s="1"/>
  <c r="V7" i="4"/>
  <c r="AA7" i="4" s="1"/>
  <c r="X7" i="4"/>
  <c r="G14" i="4"/>
  <c r="X14" i="4"/>
  <c r="E13" i="3"/>
  <c r="G11" i="3"/>
  <c r="G16" i="3"/>
  <c r="J14" i="4"/>
  <c r="Y14" i="4" s="1"/>
  <c r="V10" i="4"/>
  <c r="M11" i="4"/>
  <c r="F13" i="4" l="1"/>
  <c r="Z11" i="4"/>
  <c r="G11" i="2"/>
  <c r="C13" i="2"/>
  <c r="R13" i="4"/>
  <c r="V11" i="4"/>
  <c r="M13" i="4"/>
  <c r="Q11" i="4"/>
  <c r="H13" i="4"/>
  <c r="D13" i="4"/>
  <c r="X11" i="4"/>
  <c r="G11" i="4"/>
  <c r="W11" i="4"/>
  <c r="C13" i="4"/>
  <c r="V9" i="4"/>
  <c r="AA9" i="4" s="1"/>
  <c r="E15" i="3"/>
  <c r="G13" i="3"/>
  <c r="G15" i="5"/>
  <c r="C17" i="5"/>
  <c r="X9" i="4"/>
  <c r="C19" i="3"/>
  <c r="AA12" i="4"/>
  <c r="E15" i="4"/>
  <c r="J11" i="4"/>
  <c r="L11" i="4" s="1"/>
  <c r="Y9" i="4"/>
  <c r="AA10" i="4"/>
  <c r="L14" i="4"/>
  <c r="AA14" i="4" s="1"/>
  <c r="C17" i="6"/>
  <c r="G15" i="6"/>
  <c r="H15" i="4" l="1"/>
  <c r="E17" i="3"/>
  <c r="G15" i="3"/>
  <c r="AA11" i="4"/>
  <c r="V13" i="4"/>
  <c r="R15" i="4"/>
  <c r="Z13" i="4"/>
  <c r="F15" i="4"/>
  <c r="C19" i="5"/>
  <c r="G17" i="5"/>
  <c r="G19" i="5" s="1"/>
  <c r="G21" i="5" s="1"/>
  <c r="G23" i="5" s="1"/>
  <c r="G24" i="5" s="1"/>
  <c r="G13" i="2"/>
  <c r="C15" i="2"/>
  <c r="E16" i="4"/>
  <c r="C19" i="6"/>
  <c r="G17" i="6"/>
  <c r="G19" i="6" s="1"/>
  <c r="G21" i="6" s="1"/>
  <c r="G23" i="6" s="1"/>
  <c r="G24" i="6" s="1"/>
  <c r="J13" i="4"/>
  <c r="L13" i="4" s="1"/>
  <c r="Y11" i="4"/>
  <c r="C15" i="4"/>
  <c r="W13" i="4"/>
  <c r="G13" i="4"/>
  <c r="D15" i="4"/>
  <c r="X13" i="4"/>
  <c r="Q13" i="4"/>
  <c r="M15" i="4"/>
  <c r="W15" i="4" l="1"/>
  <c r="W16" i="4" s="1"/>
  <c r="G15" i="4"/>
  <c r="C16" i="4"/>
  <c r="X15" i="4"/>
  <c r="X16" i="4" s="1"/>
  <c r="D16" i="4"/>
  <c r="V15" i="4"/>
  <c r="R16" i="4"/>
  <c r="E19" i="3"/>
  <c r="G17" i="3"/>
  <c r="G19" i="3" s="1"/>
  <c r="G21" i="3" s="1"/>
  <c r="G23" i="3" s="1"/>
  <c r="Q15" i="4"/>
  <c r="M16" i="4"/>
  <c r="AA13" i="4"/>
  <c r="J15" i="4"/>
  <c r="L15" i="4" s="1"/>
  <c r="Y13" i="4"/>
  <c r="H16" i="4"/>
  <c r="C17" i="2"/>
  <c r="G17" i="2" s="1"/>
  <c r="G19" i="2" s="1"/>
  <c r="G21" i="2" s="1"/>
  <c r="G23" i="2" s="1"/>
  <c r="G24" i="2" s="1"/>
  <c r="G15" i="2"/>
  <c r="Z15" i="4"/>
  <c r="Z16" i="4" s="1"/>
  <c r="F16" i="4"/>
  <c r="L18" i="4" l="1"/>
  <c r="L20" i="4" s="1"/>
  <c r="L22" i="4" s="1"/>
  <c r="L23" i="4" s="1"/>
  <c r="L16" i="4"/>
  <c r="J16" i="4"/>
  <c r="Y15" i="4"/>
  <c r="Y16" i="4" s="1"/>
  <c r="Q18" i="4"/>
  <c r="Q20" i="4" s="1"/>
  <c r="Q22" i="4" s="1"/>
  <c r="Q23" i="4" s="1"/>
  <c r="Q16" i="4"/>
  <c r="V18" i="4"/>
  <c r="V20" i="4" s="1"/>
  <c r="V22" i="4" s="1"/>
  <c r="V23" i="4" s="1"/>
  <c r="V16" i="4"/>
  <c r="G18" i="4"/>
  <c r="G20" i="4" s="1"/>
  <c r="G22" i="4" s="1"/>
  <c r="G23" i="4" s="1"/>
  <c r="G16" i="4"/>
  <c r="AA15" i="4"/>
  <c r="G24" i="3"/>
  <c r="AB27" i="4"/>
  <c r="AA16" i="4" l="1"/>
  <c r="AA18" i="4"/>
  <c r="AA20" i="4" s="1"/>
  <c r="AA22" i="4" s="1"/>
  <c r="AA23" i="4" l="1"/>
  <c r="AA25" i="4"/>
  <c r="AA27" i="4" s="1"/>
  <c r="AB28" i="4" l="1"/>
  <c r="AA28" i="4"/>
</calcChain>
</file>

<file path=xl/sharedStrings.xml><?xml version="1.0" encoding="utf-8"?>
<sst xmlns="http://schemas.openxmlformats.org/spreadsheetml/2006/main" count="267" uniqueCount="58">
  <si>
    <t>Цена трансфертная</t>
  </si>
  <si>
    <t>Изабелла</t>
  </si>
  <si>
    <t>Мускат</t>
  </si>
  <si>
    <t>Мерло</t>
  </si>
  <si>
    <t>Каберне</t>
  </si>
  <si>
    <t>Отчет о прибылях и убытках за период</t>
  </si>
  <si>
    <t>Продажи шт внешние</t>
  </si>
  <si>
    <t>Продажи шт внутренние</t>
  </si>
  <si>
    <t>Продажи внутренние</t>
  </si>
  <si>
    <t>Продажи внешние</t>
  </si>
  <si>
    <t>Продажи итого</t>
  </si>
  <si>
    <t>Итого</t>
  </si>
  <si>
    <t>ВП 0</t>
  </si>
  <si>
    <t>ВП 1</t>
  </si>
  <si>
    <t>Прямые труд. Расходы</t>
  </si>
  <si>
    <t>ВП 2</t>
  </si>
  <si>
    <t>ВП 3</t>
  </si>
  <si>
    <t>Общепроизводственные расходы общие</t>
  </si>
  <si>
    <t>ВП 4</t>
  </si>
  <si>
    <t>Коммерческие расходы общие</t>
  </si>
  <si>
    <t>ВП 5</t>
  </si>
  <si>
    <t>Общехозяйственные расходы</t>
  </si>
  <si>
    <t>Прибыль по операционной деятельности</t>
  </si>
  <si>
    <t>Компания</t>
  </si>
  <si>
    <t>Российский винодельческий завод</t>
  </si>
  <si>
    <t>Общепроизводственные расходы ассортиментозависимые</t>
  </si>
  <si>
    <t>Коммерческие расходы ассортиментозависимые</t>
  </si>
  <si>
    <t>Торговый дом "Урал"</t>
  </si>
  <si>
    <t>Торговый дом "Северо-Запад"</t>
  </si>
  <si>
    <t>Торговый дом "Центр"</t>
  </si>
  <si>
    <t>Холдинг "Русское вино" консолидация</t>
  </si>
  <si>
    <t>Прямые мат. Расходы / Покупная стоимость товара</t>
  </si>
  <si>
    <t xml:space="preserve"> </t>
  </si>
  <si>
    <t>х</t>
  </si>
  <si>
    <t>Рентабельность продаж</t>
  </si>
  <si>
    <t>Производитель</t>
  </si>
  <si>
    <t>Торговый дом 1</t>
  </si>
  <si>
    <t>Торговый дом 2</t>
  </si>
  <si>
    <t>Торговый дом 3</t>
  </si>
  <si>
    <t>Клиент</t>
  </si>
  <si>
    <t>Поставщик</t>
  </si>
  <si>
    <t>Удельные материальные затраты</t>
  </si>
  <si>
    <t>Доп расчеты для целей консолидации</t>
  </si>
  <si>
    <t>Удельные прямые трудовые расходы</t>
  </si>
  <si>
    <t>Продажи шт торговых домов внешние</t>
  </si>
  <si>
    <t>Продажи торговых домов по тр. Ценам</t>
  </si>
  <si>
    <t>Удельные общепр-е расходы ассортиментозависимые</t>
  </si>
  <si>
    <t>Удельные ком-е расходы ассортиментозависимые</t>
  </si>
  <si>
    <t>ВП 3 на ед</t>
  </si>
  <si>
    <t>Общепроизводственные расходы БЕ</t>
  </si>
  <si>
    <t>Коммерческие расходы БЕ</t>
  </si>
  <si>
    <t>Общехозяйственные расходы общие</t>
  </si>
  <si>
    <t>Общехозяйственные расходы БЕ</t>
  </si>
  <si>
    <t>ВП 6</t>
  </si>
  <si>
    <t>ВП 7</t>
  </si>
  <si>
    <t>ВП 6 в % от продаж</t>
  </si>
  <si>
    <t>проверка</t>
  </si>
  <si>
    <t>Параметры для расчета консолидированных результатов деятельности группы компаний "Русское вино"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</si>
</sst>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166" fontId="4" fillId="0" borderId="1" xfId="2" applyNumberFormat="1" applyFont="1" applyBorder="1"/>
    <xf numFmtId="166" fontId="0" fillId="0" borderId="1" xfId="2" applyNumberFormat="1" applyFont="1" applyBorder="1"/>
    <xf numFmtId="166" fontId="0" fillId="0" borderId="1" xfId="2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wrapText="1"/>
    </xf>
    <xf numFmtId="165" fontId="0" fillId="0" borderId="0" xfId="2" applyNumberFormat="1" applyFont="1"/>
    <xf numFmtId="166" fontId="0" fillId="0" borderId="0" xfId="2" applyNumberFormat="1" applyFont="1"/>
    <xf numFmtId="2" fontId="0" fillId="0" borderId="1" xfId="0" applyNumberFormat="1" applyBorder="1"/>
    <xf numFmtId="166" fontId="0" fillId="0" borderId="1" xfId="0" applyNumberFormat="1" applyBorder="1"/>
    <xf numFmtId="166" fontId="3" fillId="0" borderId="0" xfId="2" applyNumberFormat="1" applyFont="1"/>
    <xf numFmtId="10" fontId="3" fillId="0" borderId="0" xfId="1" applyNumberFormat="1" applyFont="1" applyAlignment="1">
      <alignment horizontal="center"/>
    </xf>
    <xf numFmtId="165" fontId="3" fillId="0" borderId="0" xfId="2" applyNumberFormat="1" applyFont="1"/>
    <xf numFmtId="166" fontId="0" fillId="2" borderId="1" xfId="2" applyNumberFormat="1" applyFont="1" applyFill="1" applyBorder="1"/>
    <xf numFmtId="10" fontId="0" fillId="2" borderId="1" xfId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057" name="Line 1">
          <a:extLst>
            <a:ext uri="{FF2B5EF4-FFF2-40B4-BE49-F238E27FC236}">
              <a16:creationId xmlns:a16="http://schemas.microsoft.com/office/drawing/2014/main" id="{22B04564-1327-4348-8830-0F760390AD8E}"/>
            </a:ext>
          </a:extLst>
        </xdr:cNvPr>
        <xdr:cNvSpPr>
          <a:spLocks noChangeShapeType="1"/>
        </xdr:cNvSpPr>
      </xdr:nvSpPr>
      <xdr:spPr bwMode="auto">
        <a:xfrm flipH="1">
          <a:off x="1457325" y="2105025"/>
          <a:ext cx="12192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12</xdr:row>
      <xdr:rowOff>0</xdr:rowOff>
    </xdr:from>
    <xdr:to>
      <xdr:col>5</xdr:col>
      <xdr:colOff>9525</xdr:colOff>
      <xdr:row>14</xdr:row>
      <xdr:rowOff>0</xdr:rowOff>
    </xdr:to>
    <xdr:sp macro="" textlink="">
      <xdr:nvSpPr>
        <xdr:cNvPr id="1058" name="Line 2">
          <a:extLst>
            <a:ext uri="{FF2B5EF4-FFF2-40B4-BE49-F238E27FC236}">
              <a16:creationId xmlns:a16="http://schemas.microsoft.com/office/drawing/2014/main" id="{2C074273-C608-4E2F-8060-A491391B43C8}"/>
            </a:ext>
          </a:extLst>
        </xdr:cNvPr>
        <xdr:cNvSpPr>
          <a:spLocks noChangeShapeType="1"/>
        </xdr:cNvSpPr>
      </xdr:nvSpPr>
      <xdr:spPr bwMode="auto">
        <a:xfrm>
          <a:off x="3371850" y="2105025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12</xdr:row>
      <xdr:rowOff>0</xdr:rowOff>
    </xdr:from>
    <xdr:to>
      <xdr:col>8</xdr:col>
      <xdr:colOff>9525</xdr:colOff>
      <xdr:row>14</xdr:row>
      <xdr:rowOff>9525</xdr:rowOff>
    </xdr:to>
    <xdr:sp macro="" textlink="">
      <xdr:nvSpPr>
        <xdr:cNvPr id="1059" name="Line 3">
          <a:extLst>
            <a:ext uri="{FF2B5EF4-FFF2-40B4-BE49-F238E27FC236}">
              <a16:creationId xmlns:a16="http://schemas.microsoft.com/office/drawing/2014/main" id="{F022AD25-96E8-46B9-B1CC-5BD6A510350F}"/>
            </a:ext>
          </a:extLst>
        </xdr:cNvPr>
        <xdr:cNvSpPr>
          <a:spLocks noChangeShapeType="1"/>
        </xdr:cNvSpPr>
      </xdr:nvSpPr>
      <xdr:spPr bwMode="auto">
        <a:xfrm>
          <a:off x="4057650" y="2105025"/>
          <a:ext cx="122872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11</xdr:row>
      <xdr:rowOff>9525</xdr:rowOff>
    </xdr:from>
    <xdr:to>
      <xdr:col>10</xdr:col>
      <xdr:colOff>276225</xdr:colOff>
      <xdr:row>11</xdr:row>
      <xdr:rowOff>9525</xdr:rowOff>
    </xdr:to>
    <xdr:sp macro="" textlink="">
      <xdr:nvSpPr>
        <xdr:cNvPr id="1060" name="Line 4">
          <a:extLst>
            <a:ext uri="{FF2B5EF4-FFF2-40B4-BE49-F238E27FC236}">
              <a16:creationId xmlns:a16="http://schemas.microsoft.com/office/drawing/2014/main" id="{E00F846B-843E-454B-B25A-119F2DF0F1BC}"/>
            </a:ext>
          </a:extLst>
        </xdr:cNvPr>
        <xdr:cNvSpPr>
          <a:spLocks noChangeShapeType="1"/>
        </xdr:cNvSpPr>
      </xdr:nvSpPr>
      <xdr:spPr bwMode="auto">
        <a:xfrm>
          <a:off x="4057650" y="1943100"/>
          <a:ext cx="2714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276225</xdr:colOff>
      <xdr:row>11</xdr:row>
      <xdr:rowOff>9525</xdr:rowOff>
    </xdr:from>
    <xdr:to>
      <xdr:col>10</xdr:col>
      <xdr:colOff>285750</xdr:colOff>
      <xdr:row>19</xdr:row>
      <xdr:rowOff>9525</xdr:rowOff>
    </xdr:to>
    <xdr:sp macro="" textlink="">
      <xdr:nvSpPr>
        <xdr:cNvPr id="1061" name="Line 5">
          <a:extLst>
            <a:ext uri="{FF2B5EF4-FFF2-40B4-BE49-F238E27FC236}">
              <a16:creationId xmlns:a16="http://schemas.microsoft.com/office/drawing/2014/main" id="{4E0B5D25-832F-4EB9-B4D3-EFC6A3B01C94}"/>
            </a:ext>
          </a:extLst>
        </xdr:cNvPr>
        <xdr:cNvSpPr>
          <a:spLocks noChangeShapeType="1"/>
        </xdr:cNvSpPr>
      </xdr:nvSpPr>
      <xdr:spPr bwMode="auto">
        <a:xfrm flipH="1">
          <a:off x="6772275" y="1943100"/>
          <a:ext cx="9525" cy="1323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16</xdr:row>
      <xdr:rowOff>0</xdr:rowOff>
    </xdr:from>
    <xdr:to>
      <xdr:col>1</xdr:col>
      <xdr:colOff>295275</xdr:colOff>
      <xdr:row>19</xdr:row>
      <xdr:rowOff>0</xdr:rowOff>
    </xdr:to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44FF1754-6620-40AC-95AC-412954D5C2E3}"/>
            </a:ext>
          </a:extLst>
        </xdr:cNvPr>
        <xdr:cNvSpPr>
          <a:spLocks noChangeShapeType="1"/>
        </xdr:cNvSpPr>
      </xdr:nvSpPr>
      <xdr:spPr bwMode="auto">
        <a:xfrm>
          <a:off x="552450" y="2771775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285750</xdr:colOff>
      <xdr:row>16</xdr:row>
      <xdr:rowOff>9525</xdr:rowOff>
    </xdr:from>
    <xdr:to>
      <xdr:col>2</xdr:col>
      <xdr:colOff>285750</xdr:colOff>
      <xdr:row>19</xdr:row>
      <xdr:rowOff>19050</xdr:rowOff>
    </xdr:to>
    <xdr:sp macro="" textlink="">
      <xdr:nvSpPr>
        <xdr:cNvPr id="1063" name="Line 7">
          <a:extLst>
            <a:ext uri="{FF2B5EF4-FFF2-40B4-BE49-F238E27FC236}">
              <a16:creationId xmlns:a16="http://schemas.microsoft.com/office/drawing/2014/main" id="{49318DC3-C83A-4654-8931-D96021FFA1FF}"/>
            </a:ext>
          </a:extLst>
        </xdr:cNvPr>
        <xdr:cNvSpPr>
          <a:spLocks noChangeShapeType="1"/>
        </xdr:cNvSpPr>
      </xdr:nvSpPr>
      <xdr:spPr bwMode="auto">
        <a:xfrm>
          <a:off x="1743075" y="278130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9525</xdr:rowOff>
    </xdr:from>
    <xdr:to>
      <xdr:col>3</xdr:col>
      <xdr:colOff>247650</xdr:colOff>
      <xdr:row>19</xdr:row>
      <xdr:rowOff>19050</xdr:rowOff>
    </xdr:to>
    <xdr:sp macro="" textlink="">
      <xdr:nvSpPr>
        <xdr:cNvPr id="1064" name="Line 8">
          <a:extLst>
            <a:ext uri="{FF2B5EF4-FFF2-40B4-BE49-F238E27FC236}">
              <a16:creationId xmlns:a16="http://schemas.microsoft.com/office/drawing/2014/main" id="{B6B27CD9-A5F6-436A-A79D-15E73E1626E8}"/>
            </a:ext>
          </a:extLst>
        </xdr:cNvPr>
        <xdr:cNvSpPr>
          <a:spLocks noChangeShapeType="1"/>
        </xdr:cNvSpPr>
      </xdr:nvSpPr>
      <xdr:spPr bwMode="auto">
        <a:xfrm>
          <a:off x="2066925" y="2781300"/>
          <a:ext cx="2476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16</xdr:row>
      <xdr:rowOff>0</xdr:rowOff>
    </xdr:from>
    <xdr:to>
      <xdr:col>4</xdr:col>
      <xdr:colOff>285750</xdr:colOff>
      <xdr:row>19</xdr:row>
      <xdr:rowOff>9525</xdr:rowOff>
    </xdr:to>
    <xdr:sp macro="" textlink="">
      <xdr:nvSpPr>
        <xdr:cNvPr id="1065" name="Line 9">
          <a:extLst>
            <a:ext uri="{FF2B5EF4-FFF2-40B4-BE49-F238E27FC236}">
              <a16:creationId xmlns:a16="http://schemas.microsoft.com/office/drawing/2014/main" id="{C81E1BAF-9094-4E91-978A-195EF2AF1E45}"/>
            </a:ext>
          </a:extLst>
        </xdr:cNvPr>
        <xdr:cNvSpPr>
          <a:spLocks noChangeShapeType="1"/>
        </xdr:cNvSpPr>
      </xdr:nvSpPr>
      <xdr:spPr bwMode="auto">
        <a:xfrm>
          <a:off x="2962275" y="277177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16</xdr:row>
      <xdr:rowOff>9525</xdr:rowOff>
    </xdr:from>
    <xdr:to>
      <xdr:col>5</xdr:col>
      <xdr:colOff>314325</xdr:colOff>
      <xdr:row>19</xdr:row>
      <xdr:rowOff>0</xdr:rowOff>
    </xdr:to>
    <xdr:sp macro="" textlink="">
      <xdr:nvSpPr>
        <xdr:cNvPr id="1066" name="Line 10">
          <a:extLst>
            <a:ext uri="{FF2B5EF4-FFF2-40B4-BE49-F238E27FC236}">
              <a16:creationId xmlns:a16="http://schemas.microsoft.com/office/drawing/2014/main" id="{4CBAA096-FC94-40FE-8668-B673303A5D8A}"/>
            </a:ext>
          </a:extLst>
        </xdr:cNvPr>
        <xdr:cNvSpPr>
          <a:spLocks noChangeShapeType="1"/>
        </xdr:cNvSpPr>
      </xdr:nvSpPr>
      <xdr:spPr bwMode="auto">
        <a:xfrm>
          <a:off x="3676650" y="2781300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16</xdr:row>
      <xdr:rowOff>0</xdr:rowOff>
    </xdr:from>
    <xdr:to>
      <xdr:col>6</xdr:col>
      <xdr:colOff>600075</xdr:colOff>
      <xdr:row>19</xdr:row>
      <xdr:rowOff>0</xdr:rowOff>
    </xdr:to>
    <xdr:sp macro="" textlink="">
      <xdr:nvSpPr>
        <xdr:cNvPr id="1067" name="Line 11">
          <a:extLst>
            <a:ext uri="{FF2B5EF4-FFF2-40B4-BE49-F238E27FC236}">
              <a16:creationId xmlns:a16="http://schemas.microsoft.com/office/drawing/2014/main" id="{969033CA-C8B7-47DB-8670-262CC0D2A8B9}"/>
            </a:ext>
          </a:extLst>
        </xdr:cNvPr>
        <xdr:cNvSpPr>
          <a:spLocks noChangeShapeType="1"/>
        </xdr:cNvSpPr>
      </xdr:nvSpPr>
      <xdr:spPr bwMode="auto">
        <a:xfrm flipH="1">
          <a:off x="4371975" y="2771775"/>
          <a:ext cx="2857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285750</xdr:colOff>
      <xdr:row>16</xdr:row>
      <xdr:rowOff>0</xdr:rowOff>
    </xdr:from>
    <xdr:to>
      <xdr:col>7</xdr:col>
      <xdr:colOff>304800</xdr:colOff>
      <xdr:row>19</xdr:row>
      <xdr:rowOff>0</xdr:rowOff>
    </xdr:to>
    <xdr:sp macro="" textlink="">
      <xdr:nvSpPr>
        <xdr:cNvPr id="1068" name="Line 12">
          <a:extLst>
            <a:ext uri="{FF2B5EF4-FFF2-40B4-BE49-F238E27FC236}">
              <a16:creationId xmlns:a16="http://schemas.microsoft.com/office/drawing/2014/main" id="{58BF4FDA-9BC2-46DF-B9DC-4469C1C7047E}"/>
            </a:ext>
          </a:extLst>
        </xdr:cNvPr>
        <xdr:cNvSpPr>
          <a:spLocks noChangeShapeType="1"/>
        </xdr:cNvSpPr>
      </xdr:nvSpPr>
      <xdr:spPr bwMode="auto">
        <a:xfrm flipH="1">
          <a:off x="4953000" y="2771775"/>
          <a:ext cx="190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16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1069" name="Line 13">
          <a:extLst>
            <a:ext uri="{FF2B5EF4-FFF2-40B4-BE49-F238E27FC236}">
              <a16:creationId xmlns:a16="http://schemas.microsoft.com/office/drawing/2014/main" id="{085A69A4-62D7-41FC-8B3F-4E811DA2BFB6}"/>
            </a:ext>
          </a:extLst>
        </xdr:cNvPr>
        <xdr:cNvSpPr>
          <a:spLocks noChangeShapeType="1"/>
        </xdr:cNvSpPr>
      </xdr:nvSpPr>
      <xdr:spPr bwMode="auto">
        <a:xfrm>
          <a:off x="5543550" y="2771775"/>
          <a:ext cx="2857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304800</xdr:colOff>
      <xdr:row>19</xdr:row>
      <xdr:rowOff>0</xdr:rowOff>
    </xdr:to>
    <xdr:sp macro="" textlink="">
      <xdr:nvSpPr>
        <xdr:cNvPr id="1070" name="Line 14">
          <a:extLst>
            <a:ext uri="{FF2B5EF4-FFF2-40B4-BE49-F238E27FC236}">
              <a16:creationId xmlns:a16="http://schemas.microsoft.com/office/drawing/2014/main" id="{36B9B0CB-5811-4169-9B56-EF7407BBEB7B}"/>
            </a:ext>
          </a:extLst>
        </xdr:cNvPr>
        <xdr:cNvSpPr>
          <a:spLocks noChangeShapeType="1"/>
        </xdr:cNvSpPr>
      </xdr:nvSpPr>
      <xdr:spPr bwMode="auto">
        <a:xfrm>
          <a:off x="5886450" y="2771775"/>
          <a:ext cx="3048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8</xdr:row>
      <xdr:rowOff>9525</xdr:rowOff>
    </xdr:from>
    <xdr:to>
      <xdr:col>4</xdr:col>
      <xdr:colOff>333375</xdr:colOff>
      <xdr:row>10</xdr:row>
      <xdr:rowOff>0</xdr:rowOff>
    </xdr:to>
    <xdr:sp macro="" textlink="">
      <xdr:nvSpPr>
        <xdr:cNvPr id="1071" name="Line 15">
          <a:extLst>
            <a:ext uri="{FF2B5EF4-FFF2-40B4-BE49-F238E27FC236}">
              <a16:creationId xmlns:a16="http://schemas.microsoft.com/office/drawing/2014/main" id="{5AEFA431-9130-4F9C-A536-D4E01CE4D3FE}"/>
            </a:ext>
          </a:extLst>
        </xdr:cNvPr>
        <xdr:cNvSpPr>
          <a:spLocks noChangeShapeType="1"/>
        </xdr:cNvSpPr>
      </xdr:nvSpPr>
      <xdr:spPr bwMode="auto">
        <a:xfrm>
          <a:off x="3009900" y="1447800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8</xdr:row>
      <xdr:rowOff>0</xdr:rowOff>
    </xdr:from>
    <xdr:to>
      <xdr:col>5</xdr:col>
      <xdr:colOff>247650</xdr:colOff>
      <xdr:row>10</xdr:row>
      <xdr:rowOff>0</xdr:rowOff>
    </xdr:to>
    <xdr:sp macro="" textlink="">
      <xdr:nvSpPr>
        <xdr:cNvPr id="1072" name="Line 16">
          <a:extLst>
            <a:ext uri="{FF2B5EF4-FFF2-40B4-BE49-F238E27FC236}">
              <a16:creationId xmlns:a16="http://schemas.microsoft.com/office/drawing/2014/main" id="{28953C01-75EB-4232-821E-133A23E1CE1C}"/>
            </a:ext>
          </a:extLst>
        </xdr:cNvPr>
        <xdr:cNvSpPr>
          <a:spLocks noChangeShapeType="1"/>
        </xdr:cNvSpPr>
      </xdr:nvSpPr>
      <xdr:spPr bwMode="auto">
        <a:xfrm>
          <a:off x="3609975" y="1438275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130" workbookViewId="0">
      <selection activeCell="B10" sqref="B10"/>
    </sheetView>
  </sheetViews>
  <sheetFormatPr defaultRowHeight="12.75" x14ac:dyDescent="0.2"/>
  <cols>
    <col min="1" max="1" width="3.85546875" customWidth="1"/>
    <col min="2" max="2" width="18" bestFit="1" customWidth="1"/>
    <col min="5" max="5" width="10.28515625" customWidth="1"/>
    <col min="6" max="6" width="10.42578125" customWidth="1"/>
  </cols>
  <sheetData>
    <row r="1" spans="1:9" x14ac:dyDescent="0.2">
      <c r="A1" t="s">
        <v>57</v>
      </c>
    </row>
    <row r="3" spans="1:9" x14ac:dyDescent="0.2">
      <c r="C3" t="s">
        <v>1</v>
      </c>
      <c r="D3" t="s">
        <v>2</v>
      </c>
      <c r="E3" t="s">
        <v>3</v>
      </c>
      <c r="F3" t="s">
        <v>4</v>
      </c>
    </row>
    <row r="4" spans="1:9" x14ac:dyDescent="0.2">
      <c r="B4" t="s">
        <v>0</v>
      </c>
      <c r="C4">
        <v>120</v>
      </c>
      <c r="D4">
        <v>120</v>
      </c>
      <c r="E4">
        <v>120</v>
      </c>
      <c r="F4">
        <v>120</v>
      </c>
    </row>
    <row r="5" spans="1:9" ht="36.75" customHeight="1" x14ac:dyDescent="0.2">
      <c r="B5" s="9" t="s">
        <v>41</v>
      </c>
      <c r="C5">
        <v>60</v>
      </c>
      <c r="D5">
        <v>65</v>
      </c>
      <c r="E5">
        <v>70</v>
      </c>
      <c r="F5">
        <v>90</v>
      </c>
    </row>
    <row r="8" spans="1:9" x14ac:dyDescent="0.2">
      <c r="E8" s="3" t="s">
        <v>40</v>
      </c>
      <c r="F8" s="3" t="s">
        <v>40</v>
      </c>
    </row>
    <row r="10" spans="1:9" ht="13.5" thickBot="1" x14ac:dyDescent="0.25"/>
    <row r="11" spans="1:9" x14ac:dyDescent="0.2">
      <c r="E11" s="22" t="s">
        <v>35</v>
      </c>
      <c r="F11" s="23"/>
    </row>
    <row r="12" spans="1:9" ht="13.5" thickBot="1" x14ac:dyDescent="0.25">
      <c r="E12" s="24"/>
      <c r="F12" s="25"/>
    </row>
    <row r="14" spans="1:9" ht="13.5" thickBot="1" x14ac:dyDescent="0.25"/>
    <row r="15" spans="1:9" x14ac:dyDescent="0.2">
      <c r="B15" s="22" t="s">
        <v>36</v>
      </c>
      <c r="C15" s="23"/>
      <c r="E15" s="22" t="s">
        <v>37</v>
      </c>
      <c r="F15" s="23"/>
      <c r="H15" s="22" t="s">
        <v>38</v>
      </c>
      <c r="I15" s="23"/>
    </row>
    <row r="16" spans="1:9" ht="13.5" thickBot="1" x14ac:dyDescent="0.25">
      <c r="B16" s="24"/>
      <c r="C16" s="25"/>
      <c r="E16" s="24"/>
      <c r="F16" s="25"/>
      <c r="H16" s="24"/>
      <c r="I16" s="25"/>
    </row>
    <row r="20" spans="2:11" x14ac:dyDescent="0.2">
      <c r="B20" s="3" t="s">
        <v>39</v>
      </c>
      <c r="C20" s="3" t="s">
        <v>39</v>
      </c>
      <c r="D20" s="3" t="s">
        <v>39</v>
      </c>
      <c r="E20" s="3" t="s">
        <v>39</v>
      </c>
      <c r="F20" s="3" t="s">
        <v>39</v>
      </c>
      <c r="G20" s="3" t="s">
        <v>39</v>
      </c>
      <c r="H20" s="3" t="s">
        <v>39</v>
      </c>
      <c r="I20" s="3" t="s">
        <v>39</v>
      </c>
      <c r="J20" s="3" t="s">
        <v>39</v>
      </c>
      <c r="K20" s="3" t="s">
        <v>39</v>
      </c>
    </row>
  </sheetData>
  <mergeCells count="4">
    <mergeCell ref="E11:F12"/>
    <mergeCell ref="B15:C16"/>
    <mergeCell ref="E15:F16"/>
    <mergeCell ref="H15:I16"/>
  </mergeCells>
  <phoneticPr fontId="2" type="noConversion"/>
  <pageMargins left="1.8" right="0.27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opLeftCell="B1" workbookViewId="0">
      <selection activeCell="B5" sqref="B5"/>
    </sheetView>
  </sheetViews>
  <sheetFormatPr defaultRowHeight="12.75" x14ac:dyDescent="0.2"/>
  <cols>
    <col min="1" max="1" width="3.28515625" customWidth="1"/>
    <col min="2" max="2" width="54.28515625" customWidth="1"/>
    <col min="3" max="3" width="16.5703125" customWidth="1"/>
    <col min="4" max="4" width="13.28515625" bestFit="1" customWidth="1"/>
    <col min="5" max="5" width="16.28515625" customWidth="1"/>
    <col min="6" max="6" width="15.5703125" customWidth="1"/>
    <col min="7" max="7" width="14.140625" customWidth="1"/>
  </cols>
  <sheetData>
    <row r="1" spans="2:9" x14ac:dyDescent="0.2">
      <c r="B1" s="2" t="s">
        <v>5</v>
      </c>
    </row>
    <row r="2" spans="2:9" x14ac:dyDescent="0.2">
      <c r="B2" s="1" t="s">
        <v>23</v>
      </c>
      <c r="C2" s="2" t="s">
        <v>29</v>
      </c>
    </row>
    <row r="4" spans="2:9" x14ac:dyDescent="0.2">
      <c r="B4" s="3"/>
      <c r="C4" s="4" t="s">
        <v>1</v>
      </c>
      <c r="D4" s="4" t="s">
        <v>2</v>
      </c>
      <c r="E4" s="4" t="s">
        <v>3</v>
      </c>
      <c r="F4" s="4" t="s">
        <v>4</v>
      </c>
      <c r="G4" s="4" t="s">
        <v>11</v>
      </c>
    </row>
    <row r="5" spans="2:9" x14ac:dyDescent="0.2">
      <c r="B5" s="3" t="s">
        <v>6</v>
      </c>
      <c r="C5" s="5">
        <v>70000</v>
      </c>
      <c r="D5" s="5">
        <v>50000</v>
      </c>
      <c r="E5" s="5">
        <v>60000</v>
      </c>
      <c r="F5" s="5">
        <v>30000</v>
      </c>
      <c r="G5" s="6">
        <f>SUM(C5:F5)</f>
        <v>210000</v>
      </c>
    </row>
    <row r="6" spans="2:9" x14ac:dyDescent="0.2">
      <c r="B6" s="3" t="s">
        <v>7</v>
      </c>
      <c r="C6" s="6"/>
      <c r="D6" s="6"/>
      <c r="E6" s="6"/>
      <c r="F6" s="6"/>
      <c r="G6" s="6"/>
      <c r="I6" t="s">
        <v>32</v>
      </c>
    </row>
    <row r="7" spans="2:9" x14ac:dyDescent="0.2">
      <c r="B7" s="3" t="s">
        <v>9</v>
      </c>
      <c r="C7" s="6">
        <f>C5*110</f>
        <v>7700000</v>
      </c>
      <c r="D7" s="6">
        <f>D5*115</f>
        <v>5750000</v>
      </c>
      <c r="E7" s="6">
        <f>E5*120</f>
        <v>7200000</v>
      </c>
      <c r="F7" s="6">
        <f>F5*130</f>
        <v>3900000</v>
      </c>
      <c r="G7" s="6">
        <f>SUM(C7:F7)</f>
        <v>24550000</v>
      </c>
    </row>
    <row r="8" spans="2:9" x14ac:dyDescent="0.2">
      <c r="B8" s="3" t="s">
        <v>8</v>
      </c>
      <c r="C8" s="6"/>
      <c r="D8" s="6"/>
      <c r="E8" s="6"/>
      <c r="F8" s="6"/>
      <c r="G8" s="6"/>
    </row>
    <row r="9" spans="2:9" x14ac:dyDescent="0.2">
      <c r="B9" s="3" t="s">
        <v>10</v>
      </c>
      <c r="C9" s="6">
        <f>C7+C8</f>
        <v>7700000</v>
      </c>
      <c r="D9" s="6">
        <f>D7+D8</f>
        <v>5750000</v>
      </c>
      <c r="E9" s="6">
        <f>E7+E8</f>
        <v>7200000</v>
      </c>
      <c r="F9" s="6">
        <f>F7+F8</f>
        <v>3900000</v>
      </c>
      <c r="G9" s="6">
        <f t="shared" ref="G9:G18" si="0">SUM(C9:F9)</f>
        <v>24550000</v>
      </c>
    </row>
    <row r="10" spans="2:9" x14ac:dyDescent="0.2">
      <c r="B10" s="3" t="s">
        <v>31</v>
      </c>
      <c r="C10" s="6">
        <f>C5*Параметры!C4</f>
        <v>8400000</v>
      </c>
      <c r="D10" s="6">
        <f>D5*Параметры!D4</f>
        <v>6000000</v>
      </c>
      <c r="E10" s="6">
        <f>E5*Параметры!E4</f>
        <v>7200000</v>
      </c>
      <c r="F10" s="6">
        <f>F5*Параметры!F4</f>
        <v>3600000</v>
      </c>
      <c r="G10" s="6">
        <f t="shared" si="0"/>
        <v>25200000</v>
      </c>
    </row>
    <row r="11" spans="2:9" x14ac:dyDescent="0.2">
      <c r="B11" s="3" t="s">
        <v>12</v>
      </c>
      <c r="C11" s="6">
        <f>C9-C10</f>
        <v>-700000</v>
      </c>
      <c r="D11" s="6">
        <f>D9-D10</f>
        <v>-250000</v>
      </c>
      <c r="E11" s="6">
        <f>E9-E10</f>
        <v>0</v>
      </c>
      <c r="F11" s="6">
        <f>F9-F10</f>
        <v>300000</v>
      </c>
      <c r="G11" s="6">
        <f t="shared" si="0"/>
        <v>-650000</v>
      </c>
    </row>
    <row r="12" spans="2:9" x14ac:dyDescent="0.2">
      <c r="B12" s="3" t="s">
        <v>14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0</v>
      </c>
    </row>
    <row r="13" spans="2:9" x14ac:dyDescent="0.2">
      <c r="B13" s="3" t="s">
        <v>13</v>
      </c>
      <c r="C13" s="6">
        <f>C11-C12</f>
        <v>-700000</v>
      </c>
      <c r="D13" s="6">
        <f>D11-D12</f>
        <v>-250000</v>
      </c>
      <c r="E13" s="6">
        <f>E11-E12</f>
        <v>0</v>
      </c>
      <c r="F13" s="6">
        <f>F11-F12</f>
        <v>300000</v>
      </c>
      <c r="G13" s="6">
        <f t="shared" si="0"/>
        <v>-650000</v>
      </c>
    </row>
    <row r="14" spans="2:9" x14ac:dyDescent="0.2">
      <c r="B14" s="3" t="s">
        <v>25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0</v>
      </c>
    </row>
    <row r="15" spans="2:9" x14ac:dyDescent="0.2">
      <c r="B15" s="3" t="s">
        <v>15</v>
      </c>
      <c r="C15" s="6">
        <f>C13-C14</f>
        <v>-700000</v>
      </c>
      <c r="D15" s="6">
        <f>D13-D14</f>
        <v>-250000</v>
      </c>
      <c r="E15" s="6">
        <f>E13-E14</f>
        <v>0</v>
      </c>
      <c r="F15" s="6">
        <f>F13-F14</f>
        <v>300000</v>
      </c>
      <c r="G15" s="6">
        <f t="shared" si="0"/>
        <v>-650000</v>
      </c>
    </row>
    <row r="16" spans="2:9" x14ac:dyDescent="0.2">
      <c r="B16" s="3" t="s">
        <v>26</v>
      </c>
      <c r="C16" s="6">
        <f>C9*0.05</f>
        <v>385000</v>
      </c>
      <c r="D16" s="6">
        <f>D9*0.05</f>
        <v>287500</v>
      </c>
      <c r="E16" s="6">
        <f>E9*0.05</f>
        <v>360000</v>
      </c>
      <c r="F16" s="6">
        <f>F9*0.05</f>
        <v>195000</v>
      </c>
      <c r="G16" s="6">
        <f t="shared" si="0"/>
        <v>1227500</v>
      </c>
    </row>
    <row r="17" spans="2:7" x14ac:dyDescent="0.2">
      <c r="B17" s="3" t="s">
        <v>16</v>
      </c>
      <c r="C17" s="6">
        <f>C15-C16</f>
        <v>-1085000</v>
      </c>
      <c r="D17" s="6">
        <f>D15-D16</f>
        <v>-537500</v>
      </c>
      <c r="E17" s="6">
        <f>E15-E16</f>
        <v>-360000</v>
      </c>
      <c r="F17" s="6">
        <f>F15-F16</f>
        <v>105000</v>
      </c>
      <c r="G17" s="6">
        <f t="shared" si="0"/>
        <v>-1877500</v>
      </c>
    </row>
    <row r="18" spans="2:7" x14ac:dyDescent="0.2">
      <c r="B18" s="3" t="s">
        <v>17</v>
      </c>
      <c r="C18" s="6">
        <v>0</v>
      </c>
      <c r="D18" s="6">
        <v>0</v>
      </c>
      <c r="E18" s="6">
        <v>0</v>
      </c>
      <c r="F18" s="6">
        <v>0</v>
      </c>
      <c r="G18" s="6">
        <f t="shared" si="0"/>
        <v>0</v>
      </c>
    </row>
    <row r="19" spans="2:7" x14ac:dyDescent="0.2">
      <c r="B19" s="3" t="s">
        <v>18</v>
      </c>
      <c r="C19" s="6">
        <f>C17-C18</f>
        <v>-1085000</v>
      </c>
      <c r="D19" s="6">
        <f>D17-D18</f>
        <v>-537500</v>
      </c>
      <c r="E19" s="6">
        <f>E17-E18</f>
        <v>-360000</v>
      </c>
      <c r="F19" s="6">
        <f>F17-F18</f>
        <v>105000</v>
      </c>
      <c r="G19" s="6">
        <f>G17-G18</f>
        <v>-1877500</v>
      </c>
    </row>
    <row r="20" spans="2:7" x14ac:dyDescent="0.2">
      <c r="B20" s="3" t="s">
        <v>19</v>
      </c>
      <c r="C20" s="7" t="s">
        <v>33</v>
      </c>
      <c r="D20" s="7" t="s">
        <v>33</v>
      </c>
      <c r="E20" s="7" t="s">
        <v>33</v>
      </c>
      <c r="F20" s="7" t="s">
        <v>33</v>
      </c>
      <c r="G20" s="5">
        <v>1400000</v>
      </c>
    </row>
    <row r="21" spans="2:7" x14ac:dyDescent="0.2">
      <c r="B21" s="3" t="s">
        <v>20</v>
      </c>
      <c r="C21" s="7" t="s">
        <v>33</v>
      </c>
      <c r="D21" s="7" t="s">
        <v>33</v>
      </c>
      <c r="E21" s="7" t="s">
        <v>33</v>
      </c>
      <c r="F21" s="7" t="s">
        <v>33</v>
      </c>
      <c r="G21" s="6">
        <f>G19-G20</f>
        <v>-3277500</v>
      </c>
    </row>
    <row r="22" spans="2:7" x14ac:dyDescent="0.2">
      <c r="B22" s="3" t="s">
        <v>21</v>
      </c>
      <c r="C22" s="7" t="s">
        <v>33</v>
      </c>
      <c r="D22" s="7" t="s">
        <v>33</v>
      </c>
      <c r="E22" s="7" t="s">
        <v>33</v>
      </c>
      <c r="F22" s="7" t="s">
        <v>33</v>
      </c>
      <c r="G22" s="5">
        <v>500000</v>
      </c>
    </row>
    <row r="23" spans="2:7" x14ac:dyDescent="0.2">
      <c r="B23" s="3" t="s">
        <v>22</v>
      </c>
      <c r="C23" s="7" t="s">
        <v>33</v>
      </c>
      <c r="D23" s="7" t="s">
        <v>33</v>
      </c>
      <c r="E23" s="7" t="s">
        <v>33</v>
      </c>
      <c r="F23" s="7" t="s">
        <v>33</v>
      </c>
      <c r="G23" s="6">
        <f>G21-G22</f>
        <v>-3777500</v>
      </c>
    </row>
    <row r="24" spans="2:7" x14ac:dyDescent="0.2">
      <c r="B24" s="3" t="s">
        <v>34</v>
      </c>
      <c r="C24" s="3"/>
      <c r="D24" s="3"/>
      <c r="E24" s="3"/>
      <c r="F24" s="3"/>
      <c r="G24" s="8">
        <f>G23/G9</f>
        <v>-0.15386965376782077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workbookViewId="0">
      <selection activeCell="G24" sqref="G24"/>
    </sheetView>
  </sheetViews>
  <sheetFormatPr defaultRowHeight="12.75" x14ac:dyDescent="0.2"/>
  <cols>
    <col min="1" max="1" width="3.28515625" customWidth="1"/>
    <col min="2" max="2" width="54.28515625" customWidth="1"/>
    <col min="3" max="3" width="12.85546875" customWidth="1"/>
    <col min="4" max="6" width="11.85546875" bestFit="1" customWidth="1"/>
    <col min="7" max="7" width="14" customWidth="1"/>
  </cols>
  <sheetData>
    <row r="1" spans="2:7" x14ac:dyDescent="0.2">
      <c r="B1" s="2" t="s">
        <v>5</v>
      </c>
    </row>
    <row r="2" spans="2:7" x14ac:dyDescent="0.2">
      <c r="B2" s="1" t="s">
        <v>23</v>
      </c>
      <c r="C2" s="2" t="s">
        <v>28</v>
      </c>
    </row>
    <row r="4" spans="2:7" x14ac:dyDescent="0.2">
      <c r="B4" s="3"/>
      <c r="C4" s="4" t="s">
        <v>1</v>
      </c>
      <c r="D4" s="4" t="s">
        <v>2</v>
      </c>
      <c r="E4" s="4" t="s">
        <v>3</v>
      </c>
      <c r="F4" s="4" t="s">
        <v>4</v>
      </c>
      <c r="G4" s="4" t="s">
        <v>11</v>
      </c>
    </row>
    <row r="5" spans="2:7" x14ac:dyDescent="0.2">
      <c r="B5" s="3" t="s">
        <v>6</v>
      </c>
      <c r="C5" s="5">
        <v>30000</v>
      </c>
      <c r="D5" s="5">
        <v>55000</v>
      </c>
      <c r="E5" s="5">
        <v>30000</v>
      </c>
      <c r="F5" s="5">
        <v>25000</v>
      </c>
      <c r="G5" s="6">
        <f>SUM(C5:F5)</f>
        <v>140000</v>
      </c>
    </row>
    <row r="6" spans="2:7" x14ac:dyDescent="0.2">
      <c r="B6" s="3" t="s">
        <v>7</v>
      </c>
      <c r="C6" s="6"/>
      <c r="D6" s="6"/>
      <c r="E6" s="6"/>
      <c r="F6" s="6"/>
      <c r="G6" s="6"/>
    </row>
    <row r="7" spans="2:7" x14ac:dyDescent="0.2">
      <c r="B7" s="3" t="s">
        <v>9</v>
      </c>
      <c r="C7" s="6">
        <f>C5*110*1.05</f>
        <v>3465000</v>
      </c>
      <c r="D7" s="6">
        <f>D5*115*1.05</f>
        <v>6641250</v>
      </c>
      <c r="E7" s="6">
        <f>E5*120*1.05</f>
        <v>3780000</v>
      </c>
      <c r="F7" s="6">
        <f>F5*130*1.05</f>
        <v>3412500</v>
      </c>
      <c r="G7" s="6">
        <f>SUM(C7:F7)</f>
        <v>17298750</v>
      </c>
    </row>
    <row r="8" spans="2:7" x14ac:dyDescent="0.2">
      <c r="B8" s="3" t="s">
        <v>8</v>
      </c>
      <c r="C8" s="6"/>
      <c r="D8" s="6"/>
      <c r="E8" s="6"/>
      <c r="F8" s="6"/>
      <c r="G8" s="6"/>
    </row>
    <row r="9" spans="2:7" x14ac:dyDescent="0.2">
      <c r="B9" s="3" t="s">
        <v>10</v>
      </c>
      <c r="C9" s="6">
        <f>C7+C8</f>
        <v>3465000</v>
      </c>
      <c r="D9" s="6">
        <f>D7+D8</f>
        <v>6641250</v>
      </c>
      <c r="E9" s="6">
        <f>E7+E8</f>
        <v>3780000</v>
      </c>
      <c r="F9" s="6">
        <f>F7+F8</f>
        <v>3412500</v>
      </c>
      <c r="G9" s="6">
        <f t="shared" ref="G9:G18" si="0">SUM(C9:F9)</f>
        <v>17298750</v>
      </c>
    </row>
    <row r="10" spans="2:7" x14ac:dyDescent="0.2">
      <c r="B10" s="3" t="s">
        <v>31</v>
      </c>
      <c r="C10" s="6">
        <f>C5*Параметры!C4</f>
        <v>3600000</v>
      </c>
      <c r="D10" s="6">
        <f>D5*Параметры!D4</f>
        <v>6600000</v>
      </c>
      <c r="E10" s="6">
        <f>E5*Параметры!E4</f>
        <v>3600000</v>
      </c>
      <c r="F10" s="6">
        <f>F5*Параметры!F4</f>
        <v>3000000</v>
      </c>
      <c r="G10" s="6">
        <f t="shared" si="0"/>
        <v>16800000</v>
      </c>
    </row>
    <row r="11" spans="2:7" x14ac:dyDescent="0.2">
      <c r="B11" s="3" t="s">
        <v>12</v>
      </c>
      <c r="C11" s="6">
        <f>C9-C10</f>
        <v>-135000</v>
      </c>
      <c r="D11" s="6">
        <f>D9-D10</f>
        <v>41250</v>
      </c>
      <c r="E11" s="6">
        <f>E9-E10</f>
        <v>180000</v>
      </c>
      <c r="F11" s="6">
        <f>F9-F10</f>
        <v>412500</v>
      </c>
      <c r="G11" s="6">
        <f t="shared" si="0"/>
        <v>498750</v>
      </c>
    </row>
    <row r="12" spans="2:7" x14ac:dyDescent="0.2">
      <c r="B12" s="3" t="s">
        <v>14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0</v>
      </c>
    </row>
    <row r="13" spans="2:7" x14ac:dyDescent="0.2">
      <c r="B13" s="3" t="s">
        <v>13</v>
      </c>
      <c r="C13" s="6">
        <f>C11-C12</f>
        <v>-135000</v>
      </c>
      <c r="D13" s="6">
        <f>D11-D12</f>
        <v>41250</v>
      </c>
      <c r="E13" s="6">
        <f>E11-E12</f>
        <v>180000</v>
      </c>
      <c r="F13" s="6">
        <f>F11-F12</f>
        <v>412500</v>
      </c>
      <c r="G13" s="6">
        <f t="shared" si="0"/>
        <v>498750</v>
      </c>
    </row>
    <row r="14" spans="2:7" x14ac:dyDescent="0.2">
      <c r="B14" s="3" t="s">
        <v>25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0</v>
      </c>
    </row>
    <row r="15" spans="2:7" x14ac:dyDescent="0.2">
      <c r="B15" s="3" t="s">
        <v>15</v>
      </c>
      <c r="C15" s="6">
        <f>C13-C14</f>
        <v>-135000</v>
      </c>
      <c r="D15" s="6">
        <f>D13-D14</f>
        <v>41250</v>
      </c>
      <c r="E15" s="6">
        <f>E13-E14</f>
        <v>180000</v>
      </c>
      <c r="F15" s="6">
        <f>F13-F14</f>
        <v>412500</v>
      </c>
      <c r="G15" s="6">
        <f t="shared" si="0"/>
        <v>498750</v>
      </c>
    </row>
    <row r="16" spans="2:7" x14ac:dyDescent="0.2">
      <c r="B16" s="3" t="s">
        <v>26</v>
      </c>
      <c r="C16" s="6">
        <f>C9*0.05</f>
        <v>173250</v>
      </c>
      <c r="D16" s="6">
        <f>D9*0.05</f>
        <v>332062.5</v>
      </c>
      <c r="E16" s="6">
        <f>E9*0.05</f>
        <v>189000</v>
      </c>
      <c r="F16" s="6">
        <f>F9*0.05</f>
        <v>170625</v>
      </c>
      <c r="G16" s="6">
        <f t="shared" si="0"/>
        <v>864937.5</v>
      </c>
    </row>
    <row r="17" spans="2:7" x14ac:dyDescent="0.2">
      <c r="B17" s="3" t="s">
        <v>16</v>
      </c>
      <c r="C17" s="6">
        <f>C15-C16</f>
        <v>-308250</v>
      </c>
      <c r="D17" s="6">
        <f>D15-D16</f>
        <v>-290812.5</v>
      </c>
      <c r="E17" s="6">
        <f>E15-E16</f>
        <v>-9000</v>
      </c>
      <c r="F17" s="6">
        <f>F15-F16</f>
        <v>241875</v>
      </c>
      <c r="G17" s="6">
        <f t="shared" si="0"/>
        <v>-366187.5</v>
      </c>
    </row>
    <row r="18" spans="2:7" x14ac:dyDescent="0.2">
      <c r="B18" s="3" t="s">
        <v>17</v>
      </c>
      <c r="C18" s="6">
        <v>0</v>
      </c>
      <c r="D18" s="6">
        <v>0</v>
      </c>
      <c r="E18" s="6">
        <v>0</v>
      </c>
      <c r="F18" s="6">
        <v>0</v>
      </c>
      <c r="G18" s="6">
        <f t="shared" si="0"/>
        <v>0</v>
      </c>
    </row>
    <row r="19" spans="2:7" x14ac:dyDescent="0.2">
      <c r="B19" s="3" t="s">
        <v>18</v>
      </c>
      <c r="C19" s="6">
        <f>C17-C18</f>
        <v>-308250</v>
      </c>
      <c r="D19" s="6">
        <f>D17-D18</f>
        <v>-290812.5</v>
      </c>
      <c r="E19" s="6">
        <f>E17-E18</f>
        <v>-9000</v>
      </c>
      <c r="F19" s="6">
        <f>F17-F18</f>
        <v>241875</v>
      </c>
      <c r="G19" s="6">
        <f>G17-G18</f>
        <v>-366187.5</v>
      </c>
    </row>
    <row r="20" spans="2:7" x14ac:dyDescent="0.2">
      <c r="B20" s="3" t="s">
        <v>19</v>
      </c>
      <c r="C20" s="7" t="s">
        <v>33</v>
      </c>
      <c r="D20" s="7" t="s">
        <v>33</v>
      </c>
      <c r="E20" s="7" t="s">
        <v>33</v>
      </c>
      <c r="F20" s="7" t="s">
        <v>33</v>
      </c>
      <c r="G20" s="5">
        <v>1100000</v>
      </c>
    </row>
    <row r="21" spans="2:7" x14ac:dyDescent="0.2">
      <c r="B21" s="3" t="s">
        <v>20</v>
      </c>
      <c r="C21" s="7" t="s">
        <v>33</v>
      </c>
      <c r="D21" s="7" t="s">
        <v>33</v>
      </c>
      <c r="E21" s="7" t="s">
        <v>33</v>
      </c>
      <c r="F21" s="7" t="s">
        <v>33</v>
      </c>
      <c r="G21" s="6">
        <f>G19-G20</f>
        <v>-1466187.5</v>
      </c>
    </row>
    <row r="22" spans="2:7" x14ac:dyDescent="0.2">
      <c r="B22" s="3" t="s">
        <v>21</v>
      </c>
      <c r="C22" s="7" t="s">
        <v>33</v>
      </c>
      <c r="D22" s="7" t="s">
        <v>33</v>
      </c>
      <c r="E22" s="7" t="s">
        <v>33</v>
      </c>
      <c r="F22" s="7" t="s">
        <v>33</v>
      </c>
      <c r="G22" s="5">
        <v>350000</v>
      </c>
    </row>
    <row r="23" spans="2:7" x14ac:dyDescent="0.2">
      <c r="B23" s="3" t="s">
        <v>22</v>
      </c>
      <c r="C23" s="7" t="s">
        <v>33</v>
      </c>
      <c r="D23" s="7" t="s">
        <v>33</v>
      </c>
      <c r="E23" s="7" t="s">
        <v>33</v>
      </c>
      <c r="F23" s="7" t="s">
        <v>33</v>
      </c>
      <c r="G23" s="6">
        <f>G21-G22</f>
        <v>-1816187.5</v>
      </c>
    </row>
    <row r="24" spans="2:7" x14ac:dyDescent="0.2">
      <c r="B24" s="3"/>
      <c r="C24" s="3"/>
      <c r="D24" s="3"/>
      <c r="E24" s="3"/>
      <c r="F24" s="3"/>
      <c r="G24" s="8">
        <f>G23/G9</f>
        <v>-0.10498952236433268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workbookViewId="0">
      <selection activeCell="B26" sqref="B26"/>
    </sheetView>
  </sheetViews>
  <sheetFormatPr defaultRowHeight="12.75" x14ac:dyDescent="0.2"/>
  <cols>
    <col min="1" max="1" width="3.28515625" customWidth="1"/>
    <col min="2" max="2" width="54.28515625" customWidth="1"/>
    <col min="3" max="3" width="12.140625" customWidth="1"/>
    <col min="4" max="6" width="11.85546875" bestFit="1" customWidth="1"/>
    <col min="7" max="7" width="14" customWidth="1"/>
  </cols>
  <sheetData>
    <row r="1" spans="2:7" x14ac:dyDescent="0.2">
      <c r="B1" s="2" t="s">
        <v>5</v>
      </c>
    </row>
    <row r="2" spans="2:7" x14ac:dyDescent="0.2">
      <c r="B2" s="1" t="s">
        <v>23</v>
      </c>
      <c r="C2" s="2" t="s">
        <v>27</v>
      </c>
    </row>
    <row r="4" spans="2:7" x14ac:dyDescent="0.2">
      <c r="B4" s="3"/>
      <c r="C4" s="4" t="s">
        <v>1</v>
      </c>
      <c r="D4" s="4" t="s">
        <v>2</v>
      </c>
      <c r="E4" s="4" t="s">
        <v>3</v>
      </c>
      <c r="F4" s="4" t="s">
        <v>4</v>
      </c>
      <c r="G4" s="4" t="s">
        <v>11</v>
      </c>
    </row>
    <row r="5" spans="2:7" x14ac:dyDescent="0.2">
      <c r="B5" s="3" t="s">
        <v>6</v>
      </c>
      <c r="C5" s="5">
        <v>50000</v>
      </c>
      <c r="D5" s="5">
        <v>30000</v>
      </c>
      <c r="E5" s="5">
        <v>20000</v>
      </c>
      <c r="F5" s="5">
        <v>10000</v>
      </c>
      <c r="G5" s="6">
        <f>SUM(C5:F5)</f>
        <v>110000</v>
      </c>
    </row>
    <row r="6" spans="2:7" x14ac:dyDescent="0.2">
      <c r="B6" s="3" t="s">
        <v>7</v>
      </c>
      <c r="C6" s="6"/>
      <c r="D6" s="6"/>
      <c r="E6" s="6"/>
      <c r="F6" s="6"/>
      <c r="G6" s="6"/>
    </row>
    <row r="7" spans="2:7" x14ac:dyDescent="0.2">
      <c r="B7" s="3" t="s">
        <v>9</v>
      </c>
      <c r="C7" s="6">
        <f>C5*110*1.05</f>
        <v>5775000</v>
      </c>
      <c r="D7" s="6">
        <f>D5*115*1.05</f>
        <v>3622500</v>
      </c>
      <c r="E7" s="6">
        <f>E5*120*1.05</f>
        <v>2520000</v>
      </c>
      <c r="F7" s="6">
        <f>F5*130*1.05</f>
        <v>1365000</v>
      </c>
      <c r="G7" s="6">
        <f>SUM(C7:F7)</f>
        <v>13282500</v>
      </c>
    </row>
    <row r="8" spans="2:7" x14ac:dyDescent="0.2">
      <c r="B8" s="3" t="s">
        <v>8</v>
      </c>
      <c r="C8" s="6"/>
      <c r="D8" s="6"/>
      <c r="E8" s="6"/>
      <c r="F8" s="6"/>
      <c r="G8" s="6"/>
    </row>
    <row r="9" spans="2:7" x14ac:dyDescent="0.2">
      <c r="B9" s="3" t="s">
        <v>10</v>
      </c>
      <c r="C9" s="6">
        <f>C7+C8</f>
        <v>5775000</v>
      </c>
      <c r="D9" s="6">
        <f>D7+D8</f>
        <v>3622500</v>
      </c>
      <c r="E9" s="6">
        <f>E7+E8</f>
        <v>2520000</v>
      </c>
      <c r="F9" s="6">
        <f>F7+F8</f>
        <v>1365000</v>
      </c>
      <c r="G9" s="6">
        <f t="shared" ref="G9:G18" si="0">SUM(C9:F9)</f>
        <v>13282500</v>
      </c>
    </row>
    <row r="10" spans="2:7" x14ac:dyDescent="0.2">
      <c r="B10" s="3" t="s">
        <v>31</v>
      </c>
      <c r="C10" s="6">
        <f>C5*Параметры!C4</f>
        <v>6000000</v>
      </c>
      <c r="D10" s="6">
        <f>D5*Параметры!D4</f>
        <v>3600000</v>
      </c>
      <c r="E10" s="6">
        <f>E5*Параметры!E4</f>
        <v>2400000</v>
      </c>
      <c r="F10" s="6">
        <f>F5*Параметры!F4</f>
        <v>1200000</v>
      </c>
      <c r="G10" s="6">
        <f t="shared" si="0"/>
        <v>13200000</v>
      </c>
    </row>
    <row r="11" spans="2:7" x14ac:dyDescent="0.2">
      <c r="B11" s="3" t="s">
        <v>12</v>
      </c>
      <c r="C11" s="6">
        <f>C9-C10</f>
        <v>-225000</v>
      </c>
      <c r="D11" s="6">
        <f>D9-D10</f>
        <v>22500</v>
      </c>
      <c r="E11" s="6">
        <f>E9-E10</f>
        <v>120000</v>
      </c>
      <c r="F11" s="6">
        <f>F9-F10</f>
        <v>165000</v>
      </c>
      <c r="G11" s="6">
        <f t="shared" si="0"/>
        <v>82500</v>
      </c>
    </row>
    <row r="12" spans="2:7" x14ac:dyDescent="0.2">
      <c r="B12" s="3" t="s">
        <v>14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0</v>
      </c>
    </row>
    <row r="13" spans="2:7" x14ac:dyDescent="0.2">
      <c r="B13" s="3" t="s">
        <v>13</v>
      </c>
      <c r="C13" s="6">
        <f>C11-C12</f>
        <v>-225000</v>
      </c>
      <c r="D13" s="6">
        <f>D11-D12</f>
        <v>22500</v>
      </c>
      <c r="E13" s="6">
        <f>E11-E12</f>
        <v>120000</v>
      </c>
      <c r="F13" s="6">
        <f>F11-F12</f>
        <v>165000</v>
      </c>
      <c r="G13" s="6">
        <f t="shared" si="0"/>
        <v>82500</v>
      </c>
    </row>
    <row r="14" spans="2:7" x14ac:dyDescent="0.2">
      <c r="B14" s="3" t="s">
        <v>25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0</v>
      </c>
    </row>
    <row r="15" spans="2:7" x14ac:dyDescent="0.2">
      <c r="B15" s="3" t="s">
        <v>15</v>
      </c>
      <c r="C15" s="6">
        <f>C13-C14</f>
        <v>-225000</v>
      </c>
      <c r="D15" s="6">
        <f>D13-D14</f>
        <v>22500</v>
      </c>
      <c r="E15" s="6">
        <f>E13-E14</f>
        <v>120000</v>
      </c>
      <c r="F15" s="6">
        <f>F13-F14</f>
        <v>165000</v>
      </c>
      <c r="G15" s="6">
        <f t="shared" si="0"/>
        <v>82500</v>
      </c>
    </row>
    <row r="16" spans="2:7" x14ac:dyDescent="0.2">
      <c r="B16" s="3" t="s">
        <v>26</v>
      </c>
      <c r="C16" s="6">
        <f>C9*0.06</f>
        <v>346500</v>
      </c>
      <c r="D16" s="6">
        <f>D9*0.06</f>
        <v>217350</v>
      </c>
      <c r="E16" s="6">
        <f>E9*0.06</f>
        <v>151200</v>
      </c>
      <c r="F16" s="6">
        <f>F9*0.06</f>
        <v>81900</v>
      </c>
      <c r="G16" s="6">
        <f t="shared" si="0"/>
        <v>796950</v>
      </c>
    </row>
    <row r="17" spans="2:7" x14ac:dyDescent="0.2">
      <c r="B17" s="3" t="s">
        <v>16</v>
      </c>
      <c r="C17" s="6">
        <f>C15-C16</f>
        <v>-571500</v>
      </c>
      <c r="D17" s="6">
        <f>D15-D16</f>
        <v>-194850</v>
      </c>
      <c r="E17" s="6">
        <f>E15-E16</f>
        <v>-31200</v>
      </c>
      <c r="F17" s="6">
        <f>F15-F16</f>
        <v>83100</v>
      </c>
      <c r="G17" s="6">
        <f t="shared" si="0"/>
        <v>-714450</v>
      </c>
    </row>
    <row r="18" spans="2:7" x14ac:dyDescent="0.2">
      <c r="B18" s="3" t="s">
        <v>17</v>
      </c>
      <c r="C18" s="6">
        <v>0</v>
      </c>
      <c r="D18" s="6">
        <v>0</v>
      </c>
      <c r="E18" s="6">
        <v>0</v>
      </c>
      <c r="F18" s="6">
        <v>0</v>
      </c>
      <c r="G18" s="6">
        <f t="shared" si="0"/>
        <v>0</v>
      </c>
    </row>
    <row r="19" spans="2:7" x14ac:dyDescent="0.2">
      <c r="B19" s="3" t="s">
        <v>18</v>
      </c>
      <c r="C19" s="6">
        <f>C17-C18</f>
        <v>-571500</v>
      </c>
      <c r="D19" s="6">
        <f>D17-D18</f>
        <v>-194850</v>
      </c>
      <c r="E19" s="6">
        <f>E17-E18</f>
        <v>-31200</v>
      </c>
      <c r="F19" s="6">
        <f>F17-F18</f>
        <v>83100</v>
      </c>
      <c r="G19" s="6">
        <f>G17-G18</f>
        <v>-714450</v>
      </c>
    </row>
    <row r="20" spans="2:7" x14ac:dyDescent="0.2">
      <c r="B20" s="3" t="s">
        <v>19</v>
      </c>
      <c r="C20" s="7" t="s">
        <v>33</v>
      </c>
      <c r="D20" s="7" t="s">
        <v>33</v>
      </c>
      <c r="E20" s="7" t="s">
        <v>33</v>
      </c>
      <c r="F20" s="7" t="s">
        <v>33</v>
      </c>
      <c r="G20" s="5">
        <v>1250000</v>
      </c>
    </row>
    <row r="21" spans="2:7" x14ac:dyDescent="0.2">
      <c r="B21" s="3" t="s">
        <v>20</v>
      </c>
      <c r="C21" s="7" t="s">
        <v>33</v>
      </c>
      <c r="D21" s="7" t="s">
        <v>33</v>
      </c>
      <c r="E21" s="7" t="s">
        <v>33</v>
      </c>
      <c r="F21" s="7" t="s">
        <v>33</v>
      </c>
      <c r="G21" s="6">
        <f>G19-G20</f>
        <v>-1964450</v>
      </c>
    </row>
    <row r="22" spans="2:7" x14ac:dyDescent="0.2">
      <c r="B22" s="3" t="s">
        <v>21</v>
      </c>
      <c r="C22" s="7" t="s">
        <v>33</v>
      </c>
      <c r="D22" s="7" t="s">
        <v>33</v>
      </c>
      <c r="E22" s="7" t="s">
        <v>33</v>
      </c>
      <c r="F22" s="7" t="s">
        <v>33</v>
      </c>
      <c r="G22" s="5">
        <v>400000</v>
      </c>
    </row>
    <row r="23" spans="2:7" x14ac:dyDescent="0.2">
      <c r="B23" s="3" t="s">
        <v>22</v>
      </c>
      <c r="C23" s="7" t="s">
        <v>33</v>
      </c>
      <c r="D23" s="7" t="s">
        <v>33</v>
      </c>
      <c r="E23" s="7" t="s">
        <v>33</v>
      </c>
      <c r="F23" s="7" t="s">
        <v>33</v>
      </c>
      <c r="G23" s="6">
        <f>G21-G22</f>
        <v>-2364450</v>
      </c>
    </row>
    <row r="24" spans="2:7" x14ac:dyDescent="0.2">
      <c r="B24" s="3"/>
      <c r="C24" s="3"/>
      <c r="D24" s="3"/>
      <c r="E24" s="3"/>
      <c r="F24" s="3"/>
      <c r="G24" s="18">
        <f>G23/G9</f>
        <v>-0.17801242236024845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/>
  </sheetViews>
  <sheetFormatPr defaultRowHeight="12.75" x14ac:dyDescent="0.2"/>
  <cols>
    <col min="1" max="1" width="3.28515625" customWidth="1"/>
    <col min="2" max="2" width="54.28515625" customWidth="1"/>
    <col min="3" max="3" width="16" customWidth="1"/>
    <col min="4" max="4" width="14" customWidth="1"/>
    <col min="5" max="5" width="13.85546875" customWidth="1"/>
    <col min="6" max="6" width="14.140625" customWidth="1"/>
    <col min="7" max="7" width="14" customWidth="1"/>
  </cols>
  <sheetData>
    <row r="1" spans="2:7" x14ac:dyDescent="0.2">
      <c r="B1" s="2" t="s">
        <v>5</v>
      </c>
    </row>
    <row r="2" spans="2:7" x14ac:dyDescent="0.2">
      <c r="B2" s="1" t="s">
        <v>23</v>
      </c>
      <c r="C2" s="2" t="s">
        <v>24</v>
      </c>
    </row>
    <row r="4" spans="2:7" x14ac:dyDescent="0.2">
      <c r="B4" s="3"/>
      <c r="C4" s="4" t="s">
        <v>1</v>
      </c>
      <c r="D4" s="4" t="s">
        <v>2</v>
      </c>
      <c r="E4" s="4" t="s">
        <v>3</v>
      </c>
      <c r="F4" s="4" t="s">
        <v>4</v>
      </c>
      <c r="G4" s="4" t="s">
        <v>11</v>
      </c>
    </row>
    <row r="5" spans="2:7" x14ac:dyDescent="0.2">
      <c r="B5" s="3" t="s">
        <v>6</v>
      </c>
      <c r="C5" s="5">
        <v>40000</v>
      </c>
      <c r="D5" s="5">
        <v>30000</v>
      </c>
      <c r="E5" s="5">
        <v>20000</v>
      </c>
      <c r="F5" s="5">
        <v>30000</v>
      </c>
      <c r="G5" s="6">
        <f t="shared" ref="G5:G17" si="0">SUM(C5:F5)</f>
        <v>120000</v>
      </c>
    </row>
    <row r="6" spans="2:7" x14ac:dyDescent="0.2">
      <c r="B6" s="3" t="s">
        <v>44</v>
      </c>
      <c r="C6" s="6">
        <f>ТД1!C5+ТД2!C5+ТД3!C5</f>
        <v>150000</v>
      </c>
      <c r="D6" s="6">
        <f>ТД1!D5+ТД2!D5+ТД3!D5</f>
        <v>135000</v>
      </c>
      <c r="E6" s="6">
        <f>ТД1!E5+ТД2!E5+ТД3!E5</f>
        <v>110000</v>
      </c>
      <c r="F6" s="6">
        <f>ТД1!F5+ТД2!F5+ТД3!F5</f>
        <v>65000</v>
      </c>
      <c r="G6" s="6">
        <f t="shared" si="0"/>
        <v>460000</v>
      </c>
    </row>
    <row r="7" spans="2:7" x14ac:dyDescent="0.2">
      <c r="B7" s="3" t="s">
        <v>9</v>
      </c>
      <c r="C7" s="6">
        <f>C5*110*0.98</f>
        <v>4312000</v>
      </c>
      <c r="D7" s="6">
        <f>D5*115*0.98</f>
        <v>3381000</v>
      </c>
      <c r="E7" s="6">
        <f>E5*120*0.98</f>
        <v>2352000</v>
      </c>
      <c r="F7" s="6">
        <f>F5*130*0.98</f>
        <v>3822000</v>
      </c>
      <c r="G7" s="6">
        <f t="shared" si="0"/>
        <v>13867000</v>
      </c>
    </row>
    <row r="8" spans="2:7" x14ac:dyDescent="0.2">
      <c r="B8" s="3" t="s">
        <v>45</v>
      </c>
      <c r="C8" s="6">
        <f>C6*Параметры!C4</f>
        <v>18000000</v>
      </c>
      <c r="D8" s="6">
        <f>D6*Параметры!D4</f>
        <v>16200000</v>
      </c>
      <c r="E8" s="6">
        <f>E6*Параметры!E4</f>
        <v>13200000</v>
      </c>
      <c r="F8" s="6">
        <f>F6*Параметры!F4</f>
        <v>7800000</v>
      </c>
      <c r="G8" s="6">
        <f t="shared" si="0"/>
        <v>55200000</v>
      </c>
    </row>
    <row r="9" spans="2:7" x14ac:dyDescent="0.2">
      <c r="B9" s="3" t="s">
        <v>10</v>
      </c>
      <c r="C9" s="6">
        <f>C7+C8</f>
        <v>22312000</v>
      </c>
      <c r="D9" s="6">
        <f>D7+D8</f>
        <v>19581000</v>
      </c>
      <c r="E9" s="6">
        <f>E7+E8</f>
        <v>15552000</v>
      </c>
      <c r="F9" s="6">
        <f>F7+F8</f>
        <v>11622000</v>
      </c>
      <c r="G9" s="6">
        <f t="shared" si="0"/>
        <v>69067000</v>
      </c>
    </row>
    <row r="10" spans="2:7" x14ac:dyDescent="0.2">
      <c r="B10" s="3" t="s">
        <v>31</v>
      </c>
      <c r="C10" s="6">
        <f>(C5+C6)*Параметры!C5</f>
        <v>11400000</v>
      </c>
      <c r="D10" s="6">
        <f>(D5+D6)*Параметры!D5</f>
        <v>10725000</v>
      </c>
      <c r="E10" s="6">
        <f>(E5+E6)*Параметры!E5</f>
        <v>9100000</v>
      </c>
      <c r="F10" s="6">
        <f>(F5+F6)*Параметры!F5</f>
        <v>8550000</v>
      </c>
      <c r="G10" s="6">
        <f t="shared" si="0"/>
        <v>39775000</v>
      </c>
    </row>
    <row r="11" spans="2:7" x14ac:dyDescent="0.2">
      <c r="B11" s="3" t="s">
        <v>12</v>
      </c>
      <c r="C11" s="6">
        <f>C9-C10</f>
        <v>10912000</v>
      </c>
      <c r="D11" s="6">
        <f>D9-D10</f>
        <v>8856000</v>
      </c>
      <c r="E11" s="6">
        <f>E9-E10</f>
        <v>6452000</v>
      </c>
      <c r="F11" s="6">
        <f>F9-F10</f>
        <v>3072000</v>
      </c>
      <c r="G11" s="6">
        <f t="shared" si="0"/>
        <v>29292000</v>
      </c>
    </row>
    <row r="12" spans="2:7" x14ac:dyDescent="0.2">
      <c r="B12" s="3" t="s">
        <v>14</v>
      </c>
      <c r="C12" s="6">
        <v>965600</v>
      </c>
      <c r="D12" s="6">
        <v>844050</v>
      </c>
      <c r="E12" s="6">
        <v>667600</v>
      </c>
      <c r="F12" s="6">
        <v>516100</v>
      </c>
      <c r="G12" s="6">
        <f t="shared" si="0"/>
        <v>2993350</v>
      </c>
    </row>
    <row r="13" spans="2:7" x14ac:dyDescent="0.2">
      <c r="B13" s="3" t="s">
        <v>13</v>
      </c>
      <c r="C13" s="6">
        <f>C11-C12</f>
        <v>9946400</v>
      </c>
      <c r="D13" s="6">
        <f>D11-D12</f>
        <v>8011950</v>
      </c>
      <c r="E13" s="6">
        <f>E11-E12</f>
        <v>5784400</v>
      </c>
      <c r="F13" s="6">
        <f>F11-F12</f>
        <v>2555900</v>
      </c>
      <c r="G13" s="6">
        <f t="shared" si="0"/>
        <v>26298650</v>
      </c>
    </row>
    <row r="14" spans="2:7" x14ac:dyDescent="0.2">
      <c r="B14" s="3" t="s">
        <v>25</v>
      </c>
      <c r="C14" s="6">
        <v>994568</v>
      </c>
      <c r="D14" s="6">
        <v>869371.5</v>
      </c>
      <c r="E14" s="6">
        <v>687628</v>
      </c>
      <c r="F14" s="6">
        <v>531583</v>
      </c>
      <c r="G14" s="6">
        <f t="shared" si="0"/>
        <v>3083150.5</v>
      </c>
    </row>
    <row r="15" spans="2:7" x14ac:dyDescent="0.2">
      <c r="B15" s="3" t="s">
        <v>15</v>
      </c>
      <c r="C15" s="6">
        <f>C13-C14</f>
        <v>8951832</v>
      </c>
      <c r="D15" s="6">
        <f>D13-D14</f>
        <v>7142578.5</v>
      </c>
      <c r="E15" s="6">
        <f>E13-E14</f>
        <v>5096772</v>
      </c>
      <c r="F15" s="6">
        <f>F13-F14</f>
        <v>2024317</v>
      </c>
      <c r="G15" s="6">
        <f t="shared" si="0"/>
        <v>23215499.5</v>
      </c>
    </row>
    <row r="16" spans="2:7" x14ac:dyDescent="0.2">
      <c r="B16" s="3" t="s">
        <v>26</v>
      </c>
      <c r="C16" s="6">
        <v>1158720</v>
      </c>
      <c r="D16" s="6">
        <v>1012860</v>
      </c>
      <c r="E16" s="6">
        <v>801120</v>
      </c>
      <c r="F16" s="6">
        <v>1032200</v>
      </c>
      <c r="G16" s="6">
        <f t="shared" si="0"/>
        <v>4004900</v>
      </c>
    </row>
    <row r="17" spans="2:7" x14ac:dyDescent="0.2">
      <c r="B17" s="3" t="s">
        <v>16</v>
      </c>
      <c r="C17" s="6">
        <f>C15-C16</f>
        <v>7793112</v>
      </c>
      <c r="D17" s="6">
        <f>D15-D16</f>
        <v>6129718.5</v>
      </c>
      <c r="E17" s="6">
        <f>E15-E16</f>
        <v>4295652</v>
      </c>
      <c r="F17" s="17">
        <f>F15-F16</f>
        <v>992117</v>
      </c>
      <c r="G17" s="6">
        <f t="shared" si="0"/>
        <v>19210599.5</v>
      </c>
    </row>
    <row r="18" spans="2:7" x14ac:dyDescent="0.2">
      <c r="B18" s="3" t="s">
        <v>17</v>
      </c>
      <c r="C18" s="7" t="s">
        <v>33</v>
      </c>
      <c r="D18" s="7" t="s">
        <v>33</v>
      </c>
      <c r="E18" s="7" t="s">
        <v>33</v>
      </c>
      <c r="F18" s="7" t="s">
        <v>33</v>
      </c>
      <c r="G18" s="6">
        <v>3000000</v>
      </c>
    </row>
    <row r="19" spans="2:7" x14ac:dyDescent="0.2">
      <c r="B19" s="3" t="s">
        <v>18</v>
      </c>
      <c r="C19" s="7" t="s">
        <v>33</v>
      </c>
      <c r="D19" s="7" t="s">
        <v>33</v>
      </c>
      <c r="E19" s="7" t="s">
        <v>33</v>
      </c>
      <c r="F19" s="7" t="s">
        <v>33</v>
      </c>
      <c r="G19" s="6">
        <f>G17-G18</f>
        <v>16210599.5</v>
      </c>
    </row>
    <row r="20" spans="2:7" x14ac:dyDescent="0.2">
      <c r="B20" s="3" t="s">
        <v>19</v>
      </c>
      <c r="C20" s="7" t="s">
        <v>33</v>
      </c>
      <c r="D20" s="7" t="s">
        <v>33</v>
      </c>
      <c r="E20" s="7" t="s">
        <v>33</v>
      </c>
      <c r="F20" s="7" t="s">
        <v>33</v>
      </c>
      <c r="G20" s="5">
        <v>2000000</v>
      </c>
    </row>
    <row r="21" spans="2:7" x14ac:dyDescent="0.2">
      <c r="B21" s="3" t="s">
        <v>20</v>
      </c>
      <c r="C21" s="7" t="s">
        <v>33</v>
      </c>
      <c r="D21" s="7" t="s">
        <v>33</v>
      </c>
      <c r="E21" s="7" t="s">
        <v>33</v>
      </c>
      <c r="F21" s="7" t="s">
        <v>33</v>
      </c>
      <c r="G21" s="6">
        <f>G19-G20</f>
        <v>14210599.5</v>
      </c>
    </row>
    <row r="22" spans="2:7" x14ac:dyDescent="0.2">
      <c r="B22" s="3" t="s">
        <v>21</v>
      </c>
      <c r="C22" s="7" t="s">
        <v>33</v>
      </c>
      <c r="D22" s="7" t="s">
        <v>33</v>
      </c>
      <c r="E22" s="7" t="s">
        <v>33</v>
      </c>
      <c r="F22" s="7" t="s">
        <v>33</v>
      </c>
      <c r="G22" s="5">
        <v>4600000</v>
      </c>
    </row>
    <row r="23" spans="2:7" x14ac:dyDescent="0.2">
      <c r="B23" s="3" t="s">
        <v>22</v>
      </c>
      <c r="C23" s="7" t="s">
        <v>33</v>
      </c>
      <c r="D23" s="7" t="s">
        <v>33</v>
      </c>
      <c r="E23" s="7" t="s">
        <v>33</v>
      </c>
      <c r="F23" s="7" t="s">
        <v>33</v>
      </c>
      <c r="G23" s="6">
        <f>G21-G22</f>
        <v>9610599.5</v>
      </c>
    </row>
    <row r="24" spans="2:7" x14ac:dyDescent="0.2">
      <c r="B24" s="3"/>
      <c r="C24" s="3"/>
      <c r="D24" s="3"/>
      <c r="E24" s="3"/>
      <c r="F24" s="3"/>
      <c r="G24" s="8">
        <f>G23/G9</f>
        <v>0.13914893509201209</v>
      </c>
    </row>
    <row r="26" spans="2:7" x14ac:dyDescent="0.2">
      <c r="B26" t="s">
        <v>42</v>
      </c>
      <c r="C26" t="s">
        <v>32</v>
      </c>
      <c r="D26" t="s">
        <v>32</v>
      </c>
      <c r="E26" t="s">
        <v>32</v>
      </c>
      <c r="F26" t="s">
        <v>32</v>
      </c>
      <c r="G26" t="s">
        <v>32</v>
      </c>
    </row>
    <row r="27" spans="2:7" x14ac:dyDescent="0.2">
      <c r="B27" s="3" t="s">
        <v>43</v>
      </c>
      <c r="C27" s="12">
        <f>C12/(C5+C6)</f>
        <v>5.0821052631578949</v>
      </c>
      <c r="D27" s="12">
        <f>D12/(D5+D6)</f>
        <v>5.1154545454545453</v>
      </c>
      <c r="E27" s="12">
        <f>E12/(E5+E6)</f>
        <v>5.1353846153846154</v>
      </c>
      <c r="F27" s="12">
        <f>F12/(F5+F6)</f>
        <v>5.432631578947368</v>
      </c>
    </row>
    <row r="28" spans="2:7" x14ac:dyDescent="0.2">
      <c r="B28" s="3" t="s">
        <v>46</v>
      </c>
      <c r="C28" s="13">
        <f>C14/(C5+C6)</f>
        <v>5.2345684210526313</v>
      </c>
      <c r="D28" s="13">
        <f>D14/(D5+D6)</f>
        <v>5.2689181818181821</v>
      </c>
      <c r="E28" s="13">
        <f>E14/(E5+E6)</f>
        <v>5.2894461538461535</v>
      </c>
      <c r="F28" s="13">
        <f>F14/(F5+F6)</f>
        <v>5.5956105263157898</v>
      </c>
    </row>
    <row r="29" spans="2:7" x14ac:dyDescent="0.2">
      <c r="B29" s="3" t="s">
        <v>47</v>
      </c>
      <c r="C29" s="13">
        <f>C16/(C5+C6)</f>
        <v>6.0985263157894734</v>
      </c>
      <c r="D29" s="13">
        <f>D16/(D5+D6)</f>
        <v>6.1385454545454543</v>
      </c>
      <c r="E29" s="13">
        <f>E16/(E5+E6)</f>
        <v>6.1624615384615389</v>
      </c>
      <c r="F29" s="13">
        <f>F16/(F5+F6)</f>
        <v>10.865263157894736</v>
      </c>
    </row>
  </sheetData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8"/>
  <sheetViews>
    <sheetView workbookViewId="0">
      <pane xSplit="2" topLeftCell="G1" activePane="topRight" state="frozen"/>
      <selection pane="topRight"/>
    </sheetView>
  </sheetViews>
  <sheetFormatPr defaultRowHeight="12.75" outlineLevelCol="1" x14ac:dyDescent="0.2"/>
  <cols>
    <col min="1" max="1" width="3.28515625" customWidth="1"/>
    <col min="2" max="2" width="54.28515625" customWidth="1"/>
    <col min="3" max="3" width="39.7109375" hidden="1" customWidth="1" outlineLevel="1"/>
    <col min="4" max="4" width="12.140625" hidden="1" customWidth="1" outlineLevel="1"/>
    <col min="5" max="5" width="12.28515625" hidden="1" customWidth="1" outlineLevel="1"/>
    <col min="6" max="6" width="11.7109375" hidden="1" customWidth="1" outlineLevel="1"/>
    <col min="7" max="7" width="14.85546875" customWidth="1" collapsed="1"/>
    <col min="8" max="9" width="12.140625" hidden="1" customWidth="1" outlineLevel="1"/>
    <col min="10" max="10" width="11.85546875" hidden="1" customWidth="1" outlineLevel="1"/>
    <col min="11" max="11" width="12" hidden="1" customWidth="1" outlineLevel="1"/>
    <col min="12" max="12" width="14" customWidth="1" collapsed="1"/>
    <col min="13" max="13" width="13.85546875" hidden="1" customWidth="1" outlineLevel="1"/>
    <col min="14" max="14" width="15.5703125" hidden="1" customWidth="1" outlineLevel="1"/>
    <col min="15" max="15" width="14.7109375" hidden="1" customWidth="1" outlineLevel="1"/>
    <col min="16" max="16" width="15.5703125" hidden="1" customWidth="1" outlineLevel="1"/>
    <col min="17" max="17" width="14.7109375" customWidth="1" collapsed="1"/>
    <col min="18" max="18" width="11.7109375" hidden="1" customWidth="1" outlineLevel="1"/>
    <col min="19" max="19" width="12" hidden="1" customWidth="1" outlineLevel="1"/>
    <col min="20" max="20" width="12.28515625" hidden="1" customWidth="1" outlineLevel="1"/>
    <col min="21" max="21" width="11.85546875" hidden="1" customWidth="1" outlineLevel="1"/>
    <col min="22" max="22" width="14.5703125" customWidth="1" collapsed="1"/>
    <col min="23" max="23" width="12.7109375" hidden="1" customWidth="1" outlineLevel="1"/>
    <col min="24" max="24" width="13.28515625" hidden="1" customWidth="1" outlineLevel="1"/>
    <col min="25" max="25" width="13.7109375" hidden="1" customWidth="1" outlineLevel="1"/>
    <col min="26" max="26" width="13" hidden="1" customWidth="1" outlineLevel="1"/>
    <col min="27" max="27" width="14.5703125" customWidth="1" collapsed="1"/>
    <col min="28" max="28" width="12.85546875" customWidth="1"/>
  </cols>
  <sheetData>
    <row r="1" spans="2:27" x14ac:dyDescent="0.2">
      <c r="B1" s="2" t="s">
        <v>5</v>
      </c>
    </row>
    <row r="2" spans="2:27" x14ac:dyDescent="0.2">
      <c r="B2" s="1" t="s">
        <v>23</v>
      </c>
      <c r="C2" s="2" t="s">
        <v>30</v>
      </c>
    </row>
    <row r="3" spans="2:27" ht="48.75" customHeight="1" x14ac:dyDescent="0.2">
      <c r="C3" s="26" t="str">
        <f>Производитель!C2</f>
        <v>Российский винодельческий завод</v>
      </c>
      <c r="D3" s="26"/>
      <c r="E3" s="26"/>
      <c r="F3" s="26"/>
      <c r="G3" s="26"/>
      <c r="H3" s="26" t="str">
        <f>ТД1!C2</f>
        <v>Торговый дом "Центр"</v>
      </c>
      <c r="I3" s="26"/>
      <c r="J3" s="26"/>
      <c r="K3" s="26"/>
      <c r="L3" s="26"/>
      <c r="M3" s="26" t="str">
        <f>ТД2!C2</f>
        <v>Торговый дом "Северо-Запад"</v>
      </c>
      <c r="N3" s="26"/>
      <c r="O3" s="26"/>
      <c r="P3" s="26"/>
      <c r="Q3" s="26"/>
      <c r="R3" s="26" t="str">
        <f>ТД3!C2</f>
        <v>Торговый дом "Урал"</v>
      </c>
      <c r="S3" s="26"/>
      <c r="T3" s="26"/>
      <c r="U3" s="26"/>
      <c r="V3" s="26"/>
      <c r="W3" s="26" t="s">
        <v>11</v>
      </c>
      <c r="X3" s="26"/>
      <c r="Y3" s="26"/>
      <c r="Z3" s="26"/>
      <c r="AA3" s="26"/>
    </row>
    <row r="4" spans="2:27" x14ac:dyDescent="0.2">
      <c r="C4" s="2" t="s">
        <v>1</v>
      </c>
      <c r="D4" s="2" t="s">
        <v>2</v>
      </c>
      <c r="E4" s="2" t="s">
        <v>3</v>
      </c>
      <c r="F4" s="2" t="s">
        <v>4</v>
      </c>
      <c r="G4" s="2" t="s">
        <v>11</v>
      </c>
      <c r="H4" s="2" t="s">
        <v>1</v>
      </c>
      <c r="I4" s="2" t="s">
        <v>2</v>
      </c>
      <c r="J4" s="2" t="s">
        <v>3</v>
      </c>
      <c r="K4" s="2" t="s">
        <v>4</v>
      </c>
      <c r="L4" s="2" t="s">
        <v>11</v>
      </c>
      <c r="M4" s="2" t="s">
        <v>1</v>
      </c>
      <c r="N4" s="2" t="s">
        <v>2</v>
      </c>
      <c r="O4" s="2" t="s">
        <v>3</v>
      </c>
      <c r="P4" s="2" t="s">
        <v>4</v>
      </c>
      <c r="Q4" s="2" t="s">
        <v>11</v>
      </c>
      <c r="R4" s="2" t="s">
        <v>1</v>
      </c>
      <c r="S4" s="2" t="s">
        <v>2</v>
      </c>
      <c r="T4" s="2" t="s">
        <v>3</v>
      </c>
      <c r="U4" s="2" t="s">
        <v>4</v>
      </c>
      <c r="V4" s="2" t="s">
        <v>11</v>
      </c>
      <c r="W4" s="2" t="s">
        <v>1</v>
      </c>
      <c r="X4" s="2" t="s">
        <v>2</v>
      </c>
      <c r="Y4" s="2" t="s">
        <v>3</v>
      </c>
      <c r="Z4" s="2" t="s">
        <v>4</v>
      </c>
      <c r="AA4" s="2" t="s">
        <v>11</v>
      </c>
    </row>
    <row r="5" spans="2:27" x14ac:dyDescent="0.2">
      <c r="B5" t="s">
        <v>6</v>
      </c>
      <c r="C5" s="11">
        <f>Производитель!C5</f>
        <v>40000</v>
      </c>
      <c r="D5" s="11">
        <f>Производитель!D5</f>
        <v>30000</v>
      </c>
      <c r="E5" s="11">
        <f>Производитель!E5</f>
        <v>20000</v>
      </c>
      <c r="F5" s="11">
        <f>Производитель!F5</f>
        <v>30000</v>
      </c>
      <c r="G5" s="11">
        <f>Производитель!G5</f>
        <v>120000</v>
      </c>
      <c r="H5" s="11">
        <f>ТД1!C5</f>
        <v>70000</v>
      </c>
      <c r="I5" s="11">
        <f>ТД1!D5</f>
        <v>50000</v>
      </c>
      <c r="J5" s="11">
        <f>ТД1!E5</f>
        <v>60000</v>
      </c>
      <c r="K5" s="11">
        <f>ТД1!F5</f>
        <v>30000</v>
      </c>
      <c r="L5" s="11">
        <f>ТД1!G5</f>
        <v>210000</v>
      </c>
      <c r="M5" s="11">
        <f>ТД2!C5</f>
        <v>30000</v>
      </c>
      <c r="N5" s="11">
        <f>ТД2!D5</f>
        <v>55000</v>
      </c>
      <c r="O5" s="11">
        <f>ТД2!E5</f>
        <v>30000</v>
      </c>
      <c r="P5" s="11">
        <f>ТД2!F5</f>
        <v>25000</v>
      </c>
      <c r="Q5" s="11">
        <f>ТД2!G5</f>
        <v>140000</v>
      </c>
      <c r="R5" s="11">
        <f>ТД3!C5</f>
        <v>50000</v>
      </c>
      <c r="S5" s="11">
        <f>ТД3!D5</f>
        <v>30000</v>
      </c>
      <c r="T5" s="11">
        <f>ТД3!E5</f>
        <v>20000</v>
      </c>
      <c r="U5" s="11">
        <f>ТД3!F5</f>
        <v>10000</v>
      </c>
      <c r="V5" s="11">
        <f>ТД3!G5</f>
        <v>110000</v>
      </c>
      <c r="W5" s="11">
        <f>C5+H5+M5+R5</f>
        <v>190000</v>
      </c>
      <c r="X5" s="11">
        <f t="shared" ref="X5:AA15" si="0">D5+I5+N5+S5</f>
        <v>165000</v>
      </c>
      <c r="Y5" s="11">
        <f t="shared" si="0"/>
        <v>130000</v>
      </c>
      <c r="Z5" s="11">
        <f t="shared" si="0"/>
        <v>95000</v>
      </c>
      <c r="AA5" s="11">
        <f t="shared" si="0"/>
        <v>580000</v>
      </c>
    </row>
    <row r="6" spans="2:27" x14ac:dyDescent="0.2">
      <c r="B6" t="s">
        <v>9</v>
      </c>
      <c r="C6" s="11">
        <f>Производитель!C7</f>
        <v>4312000</v>
      </c>
      <c r="D6" s="11">
        <f>Производитель!D7</f>
        <v>3381000</v>
      </c>
      <c r="E6" s="11">
        <f>Производитель!E7</f>
        <v>2352000</v>
      </c>
      <c r="F6" s="11">
        <f>Производитель!F7</f>
        <v>3822000</v>
      </c>
      <c r="G6" s="11">
        <f>Производитель!G7</f>
        <v>13867000</v>
      </c>
      <c r="H6" s="11">
        <f>ТД1!C7</f>
        <v>7700000</v>
      </c>
      <c r="I6" s="11">
        <f>ТД1!D7</f>
        <v>5750000</v>
      </c>
      <c r="J6" s="11">
        <f>ТД1!E7</f>
        <v>7200000</v>
      </c>
      <c r="K6" s="11">
        <f>ТД1!F7</f>
        <v>3900000</v>
      </c>
      <c r="L6" s="11">
        <f>ТД1!G7</f>
        <v>24550000</v>
      </c>
      <c r="M6" s="11">
        <f>ТД2!C7</f>
        <v>3465000</v>
      </c>
      <c r="N6" s="11">
        <f>ТД2!D7</f>
        <v>6641250</v>
      </c>
      <c r="O6" s="11">
        <f>ТД2!E7</f>
        <v>3780000</v>
      </c>
      <c r="P6" s="11">
        <f>ТД2!F7</f>
        <v>3412500</v>
      </c>
      <c r="Q6" s="11">
        <f>ТД2!G7</f>
        <v>17298750</v>
      </c>
      <c r="R6" s="11">
        <f>ТД3!C7</f>
        <v>5775000</v>
      </c>
      <c r="S6" s="11">
        <f>ТД3!D7</f>
        <v>3622500</v>
      </c>
      <c r="T6" s="11">
        <f>ТД3!E7</f>
        <v>2520000</v>
      </c>
      <c r="U6" s="11">
        <f>ТД3!F7</f>
        <v>1365000</v>
      </c>
      <c r="V6" s="11">
        <f>ТД3!G7</f>
        <v>13282500</v>
      </c>
      <c r="W6" s="11">
        <f t="shared" ref="W6:W15" si="1">C6+H6+M6+R6</f>
        <v>21252000</v>
      </c>
      <c r="X6" s="11">
        <f t="shared" si="0"/>
        <v>19394750</v>
      </c>
      <c r="Y6" s="11">
        <f t="shared" si="0"/>
        <v>15852000</v>
      </c>
      <c r="Z6" s="11">
        <f t="shared" si="0"/>
        <v>12499500</v>
      </c>
      <c r="AA6" s="11">
        <f t="shared" si="0"/>
        <v>68998250</v>
      </c>
    </row>
    <row r="7" spans="2:27" x14ac:dyDescent="0.2">
      <c r="B7" t="s">
        <v>10</v>
      </c>
      <c r="C7" s="11">
        <f t="shared" ref="C7:U7" si="2">C6</f>
        <v>4312000</v>
      </c>
      <c r="D7" s="11">
        <f t="shared" si="2"/>
        <v>3381000</v>
      </c>
      <c r="E7" s="11">
        <f t="shared" si="2"/>
        <v>2352000</v>
      </c>
      <c r="F7" s="11">
        <f t="shared" si="2"/>
        <v>3822000</v>
      </c>
      <c r="G7" s="11">
        <f t="shared" si="2"/>
        <v>13867000</v>
      </c>
      <c r="H7" s="11">
        <f t="shared" si="2"/>
        <v>7700000</v>
      </c>
      <c r="I7" s="11">
        <f t="shared" si="2"/>
        <v>5750000</v>
      </c>
      <c r="J7" s="11">
        <f t="shared" si="2"/>
        <v>7200000</v>
      </c>
      <c r="K7" s="11">
        <f t="shared" si="2"/>
        <v>3900000</v>
      </c>
      <c r="L7" s="11">
        <f t="shared" si="2"/>
        <v>24550000</v>
      </c>
      <c r="M7" s="11">
        <f t="shared" si="2"/>
        <v>3465000</v>
      </c>
      <c r="N7" s="11">
        <f t="shared" si="2"/>
        <v>6641250</v>
      </c>
      <c r="O7" s="11">
        <f t="shared" si="2"/>
        <v>3780000</v>
      </c>
      <c r="P7" s="11">
        <f t="shared" si="2"/>
        <v>3412500</v>
      </c>
      <c r="Q7" s="11">
        <f t="shared" si="2"/>
        <v>17298750</v>
      </c>
      <c r="R7" s="11">
        <f t="shared" si="2"/>
        <v>5775000</v>
      </c>
      <c r="S7" s="11">
        <f t="shared" si="2"/>
        <v>3622500</v>
      </c>
      <c r="T7" s="11">
        <f t="shared" si="2"/>
        <v>2520000</v>
      </c>
      <c r="U7" s="11">
        <f t="shared" si="2"/>
        <v>1365000</v>
      </c>
      <c r="V7" s="11">
        <f>SUM(R7:U7)</f>
        <v>13282500</v>
      </c>
      <c r="W7" s="11">
        <f t="shared" si="1"/>
        <v>21252000</v>
      </c>
      <c r="X7" s="11">
        <f t="shared" si="0"/>
        <v>19394750</v>
      </c>
      <c r="Y7" s="11">
        <f t="shared" si="0"/>
        <v>15852000</v>
      </c>
      <c r="Z7" s="11">
        <f t="shared" si="0"/>
        <v>12499500</v>
      </c>
      <c r="AA7" s="11">
        <f t="shared" si="0"/>
        <v>68998250</v>
      </c>
    </row>
    <row r="8" spans="2:27" x14ac:dyDescent="0.2">
      <c r="B8" t="s">
        <v>31</v>
      </c>
      <c r="C8" s="11">
        <f>C5*Параметры!C5</f>
        <v>2400000</v>
      </c>
      <c r="D8" s="11">
        <f>D5*Параметры!D5</f>
        <v>1950000</v>
      </c>
      <c r="E8" s="11">
        <f>E5*Параметры!E5</f>
        <v>1400000</v>
      </c>
      <c r="F8" s="11">
        <f>F5*Параметры!F5</f>
        <v>2700000</v>
      </c>
      <c r="G8" s="11">
        <f t="shared" ref="G8:G15" si="3">SUM(C8:F8)</f>
        <v>8450000</v>
      </c>
      <c r="H8" s="11">
        <f>H5*Параметры!C5</f>
        <v>4200000</v>
      </c>
      <c r="I8" s="11">
        <f>I5*Параметры!D5</f>
        <v>3250000</v>
      </c>
      <c r="J8" s="11">
        <f>J5*Параметры!E5</f>
        <v>4200000</v>
      </c>
      <c r="K8" s="11">
        <f>K5*Параметры!F5</f>
        <v>2700000</v>
      </c>
      <c r="L8" s="11">
        <f>SUM(H8:K8)</f>
        <v>14350000</v>
      </c>
      <c r="M8" s="11">
        <f>M5*Параметры!C5</f>
        <v>1800000</v>
      </c>
      <c r="N8" s="11">
        <f>N5*Параметры!D5</f>
        <v>3575000</v>
      </c>
      <c r="O8" s="11">
        <f>O5*Параметры!E5</f>
        <v>2100000</v>
      </c>
      <c r="P8" s="11">
        <f>P5*Параметры!F5</f>
        <v>2250000</v>
      </c>
      <c r="Q8" s="11">
        <f>SUM(M8:P8)</f>
        <v>9725000</v>
      </c>
      <c r="R8" s="11">
        <f>R5*Параметры!C5</f>
        <v>3000000</v>
      </c>
      <c r="S8" s="11">
        <f>S5*Параметры!D5</f>
        <v>1950000</v>
      </c>
      <c r="T8" s="11">
        <f>T5*Параметры!E5</f>
        <v>1400000</v>
      </c>
      <c r="U8" s="11">
        <f>U5*Параметры!F5</f>
        <v>900000</v>
      </c>
      <c r="V8" s="11">
        <f>SUM(R8:U8)</f>
        <v>7250000</v>
      </c>
      <c r="W8" s="11">
        <f t="shared" si="1"/>
        <v>11400000</v>
      </c>
      <c r="X8" s="11">
        <f t="shared" si="0"/>
        <v>10725000</v>
      </c>
      <c r="Y8" s="11">
        <f t="shared" si="0"/>
        <v>9100000</v>
      </c>
      <c r="Z8" s="11">
        <f t="shared" si="0"/>
        <v>8550000</v>
      </c>
      <c r="AA8" s="11">
        <f t="shared" si="0"/>
        <v>39775000</v>
      </c>
    </row>
    <row r="9" spans="2:27" x14ac:dyDescent="0.2">
      <c r="B9" t="s">
        <v>12</v>
      </c>
      <c r="C9" s="11">
        <f>C7-C8</f>
        <v>1912000</v>
      </c>
      <c r="D9" s="11">
        <f>D7-D8</f>
        <v>1431000</v>
      </c>
      <c r="E9" s="11">
        <f>E7-E8</f>
        <v>952000</v>
      </c>
      <c r="F9" s="11">
        <f>F7-F8</f>
        <v>1122000</v>
      </c>
      <c r="G9" s="11">
        <f t="shared" si="3"/>
        <v>5417000</v>
      </c>
      <c r="H9" s="11">
        <f>H7-H8</f>
        <v>3500000</v>
      </c>
      <c r="I9" s="11">
        <f>I7-I8</f>
        <v>2500000</v>
      </c>
      <c r="J9" s="11">
        <f>J7-J8</f>
        <v>3000000</v>
      </c>
      <c r="K9" s="11">
        <f>K7-K8</f>
        <v>1200000</v>
      </c>
      <c r="L9" s="11">
        <f>SUM(H9:K9)</f>
        <v>10200000</v>
      </c>
      <c r="M9" s="11">
        <f>M7-M8</f>
        <v>1665000</v>
      </c>
      <c r="N9" s="11">
        <f>N7-N8</f>
        <v>3066250</v>
      </c>
      <c r="O9" s="11">
        <f>O7-O8</f>
        <v>1680000</v>
      </c>
      <c r="P9" s="11">
        <f>P7-P8</f>
        <v>1162500</v>
      </c>
      <c r="Q9" s="11">
        <f>SUM(M9:P9)</f>
        <v>7573750</v>
      </c>
      <c r="R9" s="11">
        <f>R7-R8</f>
        <v>2775000</v>
      </c>
      <c r="S9" s="11">
        <f>S7-S8</f>
        <v>1672500</v>
      </c>
      <c r="T9" s="11">
        <f>T7-T8</f>
        <v>1120000</v>
      </c>
      <c r="U9" s="11">
        <f>U7-U8</f>
        <v>465000</v>
      </c>
      <c r="V9" s="11">
        <f>SUM(R9:U9)</f>
        <v>6032500</v>
      </c>
      <c r="W9" s="11">
        <f t="shared" si="1"/>
        <v>9852000</v>
      </c>
      <c r="X9" s="11">
        <f t="shared" si="0"/>
        <v>8669750</v>
      </c>
      <c r="Y9" s="11">
        <f t="shared" si="0"/>
        <v>6752000</v>
      </c>
      <c r="Z9" s="11">
        <f t="shared" si="0"/>
        <v>3949500</v>
      </c>
      <c r="AA9" s="11">
        <f t="shared" si="0"/>
        <v>29223250</v>
      </c>
    </row>
    <row r="10" spans="2:27" x14ac:dyDescent="0.2">
      <c r="B10" t="s">
        <v>14</v>
      </c>
      <c r="C10" s="11">
        <f>C5*Производитель!C27</f>
        <v>203284.21052631579</v>
      </c>
      <c r="D10" s="11">
        <f>D5*Производитель!D27</f>
        <v>153463.63636363635</v>
      </c>
      <c r="E10" s="11">
        <f>E5*Производитель!E27</f>
        <v>102707.69230769231</v>
      </c>
      <c r="F10" s="11">
        <f>F5*Производитель!F27</f>
        <v>162978.94736842104</v>
      </c>
      <c r="G10" s="11">
        <f t="shared" si="3"/>
        <v>622434.48656606546</v>
      </c>
      <c r="H10" s="11">
        <f>H5*Производитель!C27</f>
        <v>355747.36842105264</v>
      </c>
      <c r="I10" s="11">
        <f>I5*Производитель!D27</f>
        <v>255772.72727272726</v>
      </c>
      <c r="J10" s="11">
        <f>J5*Производитель!E27</f>
        <v>308123.07692307694</v>
      </c>
      <c r="K10" s="11">
        <f>K5*Производитель!F27</f>
        <v>162978.94736842104</v>
      </c>
      <c r="L10" s="11">
        <f t="shared" ref="L10:L15" si="4">SUM(H10:K10)</f>
        <v>1082622.119985278</v>
      </c>
      <c r="M10" s="11">
        <f>M5*Производитель!C27</f>
        <v>152463.15789473685</v>
      </c>
      <c r="N10" s="11">
        <f>N5*Производитель!D27</f>
        <v>281350</v>
      </c>
      <c r="O10" s="11">
        <f>O5*Производитель!E27</f>
        <v>154061.53846153847</v>
      </c>
      <c r="P10" s="11">
        <f>P5*Производитель!F27</f>
        <v>135815.78947368421</v>
      </c>
      <c r="Q10" s="11">
        <f t="shared" ref="Q10:Q15" si="5">SUM(M10:P10)</f>
        <v>723690.48582995962</v>
      </c>
      <c r="R10" s="11">
        <f>R5*Производитель!C27</f>
        <v>254105.26315789475</v>
      </c>
      <c r="S10" s="11">
        <f>S5*Производитель!D27</f>
        <v>153463.63636363635</v>
      </c>
      <c r="T10" s="11">
        <f>T5*Производитель!E27</f>
        <v>102707.69230769231</v>
      </c>
      <c r="U10" s="11">
        <f>U5*Производитель!F27</f>
        <v>54326.31578947368</v>
      </c>
      <c r="V10" s="11">
        <f t="shared" ref="V10:V15" si="6">SUM(R10:U10)</f>
        <v>564602.90761869703</v>
      </c>
      <c r="W10" s="11">
        <f t="shared" si="1"/>
        <v>965600</v>
      </c>
      <c r="X10" s="11">
        <f t="shared" si="0"/>
        <v>844050</v>
      </c>
      <c r="Y10" s="11">
        <f t="shared" si="0"/>
        <v>667600</v>
      </c>
      <c r="Z10" s="11">
        <f t="shared" si="0"/>
        <v>516100</v>
      </c>
      <c r="AA10" s="11">
        <f t="shared" si="0"/>
        <v>2993350</v>
      </c>
    </row>
    <row r="11" spans="2:27" x14ac:dyDescent="0.2">
      <c r="B11" t="s">
        <v>13</v>
      </c>
      <c r="C11" s="11">
        <f>C9-C10</f>
        <v>1708715.7894736843</v>
      </c>
      <c r="D11" s="11">
        <f>D9-D10</f>
        <v>1277536.3636363638</v>
      </c>
      <c r="E11" s="11">
        <f>E9-E10</f>
        <v>849292.30769230775</v>
      </c>
      <c r="F11" s="11">
        <f>F9-F10</f>
        <v>959021.05263157899</v>
      </c>
      <c r="G11" s="11">
        <f t="shared" si="3"/>
        <v>4794565.5134339351</v>
      </c>
      <c r="H11" s="11">
        <f>H9-H10</f>
        <v>3144252.6315789474</v>
      </c>
      <c r="I11" s="11">
        <f>I9-I10</f>
        <v>2244227.2727272729</v>
      </c>
      <c r="J11" s="11">
        <f>J9-J10</f>
        <v>2691876.923076923</v>
      </c>
      <c r="K11" s="11">
        <f>K9-K10</f>
        <v>1037021.052631579</v>
      </c>
      <c r="L11" s="11">
        <f t="shared" si="4"/>
        <v>9117377.8800147213</v>
      </c>
      <c r="M11" s="11">
        <f>M9-M10</f>
        <v>1512536.8421052631</v>
      </c>
      <c r="N11" s="11">
        <f>N9-N10</f>
        <v>2784900</v>
      </c>
      <c r="O11" s="11">
        <f>O9-O10</f>
        <v>1525938.4615384615</v>
      </c>
      <c r="P11" s="11">
        <f>P9-P10</f>
        <v>1026684.2105263157</v>
      </c>
      <c r="Q11" s="11">
        <f t="shared" si="5"/>
        <v>6850059.5141700394</v>
      </c>
      <c r="R11" s="11">
        <f>R9-R10</f>
        <v>2520894.7368421052</v>
      </c>
      <c r="S11" s="11">
        <f>S9-S10</f>
        <v>1519036.3636363638</v>
      </c>
      <c r="T11" s="11">
        <f>T9-T10</f>
        <v>1017292.3076923077</v>
      </c>
      <c r="U11" s="11">
        <f>U9-U10</f>
        <v>410673.68421052629</v>
      </c>
      <c r="V11" s="11">
        <f t="shared" si="6"/>
        <v>5467897.0923813023</v>
      </c>
      <c r="W11" s="11">
        <f t="shared" si="1"/>
        <v>8886400</v>
      </c>
      <c r="X11" s="11">
        <f t="shared" si="0"/>
        <v>7825700</v>
      </c>
      <c r="Y11" s="11">
        <f t="shared" si="0"/>
        <v>6084400</v>
      </c>
      <c r="Z11" s="11">
        <f t="shared" si="0"/>
        <v>3433400</v>
      </c>
      <c r="AA11" s="11">
        <f t="shared" si="0"/>
        <v>26229899.999999996</v>
      </c>
    </row>
    <row r="12" spans="2:27" x14ac:dyDescent="0.2">
      <c r="B12" t="s">
        <v>25</v>
      </c>
      <c r="C12" s="11">
        <f>Производитель!C28*Консолидация!C5</f>
        <v>209382.73684210525</v>
      </c>
      <c r="D12" s="11">
        <f>Производитель!D28*Консолидация!D5</f>
        <v>158067.54545454547</v>
      </c>
      <c r="E12" s="11">
        <f>Производитель!E28*Консолидация!E5</f>
        <v>105788.92307692306</v>
      </c>
      <c r="F12" s="11">
        <f>Производитель!F28*Консолидация!F5</f>
        <v>167868.31578947371</v>
      </c>
      <c r="G12" s="11">
        <f t="shared" si="3"/>
        <v>641107.52116304752</v>
      </c>
      <c r="H12" s="11">
        <f>H5*Производитель!C28</f>
        <v>366419.78947368421</v>
      </c>
      <c r="I12" s="11">
        <f>I5*Производитель!D28</f>
        <v>263445.90909090912</v>
      </c>
      <c r="J12" s="11">
        <f>J5*Производитель!E28</f>
        <v>317366.76923076919</v>
      </c>
      <c r="K12" s="11">
        <f>K5*Производитель!F28</f>
        <v>167868.31578947371</v>
      </c>
      <c r="L12" s="11">
        <f t="shared" si="4"/>
        <v>1115100.7835848362</v>
      </c>
      <c r="M12" s="11">
        <f>M5*Производитель!C28</f>
        <v>157037.05263157893</v>
      </c>
      <c r="N12" s="11">
        <f>N5*Производитель!D28</f>
        <v>289790.5</v>
      </c>
      <c r="O12" s="11">
        <f>O5*Производитель!E28</f>
        <v>158683.3846153846</v>
      </c>
      <c r="P12" s="11">
        <f>P5*Производитель!F28</f>
        <v>139890.26315789475</v>
      </c>
      <c r="Q12" s="11">
        <f t="shared" si="5"/>
        <v>745401.20040485822</v>
      </c>
      <c r="R12" s="11">
        <f>R5*Производитель!C28</f>
        <v>261728.42105263157</v>
      </c>
      <c r="S12" s="11">
        <f>S5*Производитель!D28</f>
        <v>158067.54545454547</v>
      </c>
      <c r="T12" s="11">
        <f>T5*Производитель!E28</f>
        <v>105788.92307692306</v>
      </c>
      <c r="U12" s="11">
        <f>U5*Производитель!F28</f>
        <v>55956.1052631579</v>
      </c>
      <c r="V12" s="11">
        <f t="shared" si="6"/>
        <v>581540.99484725797</v>
      </c>
      <c r="W12" s="11">
        <f t="shared" si="1"/>
        <v>994567.99999999988</v>
      </c>
      <c r="X12" s="11">
        <f t="shared" si="0"/>
        <v>869371.5</v>
      </c>
      <c r="Y12" s="11">
        <f t="shared" si="0"/>
        <v>687628</v>
      </c>
      <c r="Z12" s="11">
        <f t="shared" si="0"/>
        <v>531583</v>
      </c>
      <c r="AA12" s="11">
        <f t="shared" si="0"/>
        <v>3083150.5</v>
      </c>
    </row>
    <row r="13" spans="2:27" x14ac:dyDescent="0.2">
      <c r="B13" t="s">
        <v>15</v>
      </c>
      <c r="C13" s="11">
        <f>C11-C12</f>
        <v>1499333.0526315791</v>
      </c>
      <c r="D13" s="11">
        <f>D11-D12</f>
        <v>1119468.8181818184</v>
      </c>
      <c r="E13" s="11">
        <f>E11-E12</f>
        <v>743503.38461538474</v>
      </c>
      <c r="F13" s="11">
        <f>F11-F12</f>
        <v>791152.73684210528</v>
      </c>
      <c r="G13" s="11">
        <f t="shared" si="3"/>
        <v>4153457.9922708878</v>
      </c>
      <c r="H13" s="11">
        <f>H11-H12</f>
        <v>2777832.8421052634</v>
      </c>
      <c r="I13" s="11">
        <f>I11-I12</f>
        <v>1980781.3636363638</v>
      </c>
      <c r="J13" s="11">
        <f>J11-J12</f>
        <v>2374510.153846154</v>
      </c>
      <c r="K13" s="11">
        <f>K11-K12</f>
        <v>869152.73684210528</v>
      </c>
      <c r="L13" s="11">
        <f t="shared" si="4"/>
        <v>8002277.0964298863</v>
      </c>
      <c r="M13" s="11">
        <f>M11-M12</f>
        <v>1355499.7894736843</v>
      </c>
      <c r="N13" s="11">
        <f>N11-N12</f>
        <v>2495109.5</v>
      </c>
      <c r="O13" s="11">
        <f>O11-O12</f>
        <v>1367255.076923077</v>
      </c>
      <c r="P13" s="11">
        <f>P11-P12</f>
        <v>886793.94736842101</v>
      </c>
      <c r="Q13" s="11">
        <f t="shared" si="5"/>
        <v>6104658.3137651822</v>
      </c>
      <c r="R13" s="11">
        <f>R11-R12</f>
        <v>2259166.3157894737</v>
      </c>
      <c r="S13" s="11">
        <f>S11-S12</f>
        <v>1360968.8181818184</v>
      </c>
      <c r="T13" s="11">
        <f>T11-T12</f>
        <v>911503.38461538474</v>
      </c>
      <c r="U13" s="11">
        <f>U11-U12</f>
        <v>354717.57894736837</v>
      </c>
      <c r="V13" s="11">
        <f t="shared" si="6"/>
        <v>4886356.0975340446</v>
      </c>
      <c r="W13" s="11">
        <f t="shared" si="1"/>
        <v>7891832</v>
      </c>
      <c r="X13" s="11">
        <f t="shared" si="0"/>
        <v>6956328.5</v>
      </c>
      <c r="Y13" s="11">
        <f t="shared" si="0"/>
        <v>5396772.0000000009</v>
      </c>
      <c r="Z13" s="11">
        <f t="shared" si="0"/>
        <v>2901817</v>
      </c>
      <c r="AA13" s="11">
        <f t="shared" si="0"/>
        <v>23146749.500000004</v>
      </c>
    </row>
    <row r="14" spans="2:27" x14ac:dyDescent="0.2">
      <c r="B14" t="s">
        <v>26</v>
      </c>
      <c r="C14" s="11">
        <f>C5*Производитель!C29</f>
        <v>243941.05263157893</v>
      </c>
      <c r="D14" s="11">
        <f>D5*Производитель!D29</f>
        <v>184156.36363636362</v>
      </c>
      <c r="E14" s="11">
        <f>E5*Производитель!E29</f>
        <v>123249.23076923078</v>
      </c>
      <c r="F14" s="11">
        <f>F5*Производитель!F29</f>
        <v>325957.89473684208</v>
      </c>
      <c r="G14" s="11">
        <f t="shared" si="3"/>
        <v>877304.54177401541</v>
      </c>
      <c r="H14" s="11">
        <f>H5*Производитель!C29+ТД1!C16</f>
        <v>811896.84210526315</v>
      </c>
      <c r="I14" s="11">
        <f>I5*Производитель!D29+ТД1!D16</f>
        <v>594427.27272727271</v>
      </c>
      <c r="J14" s="11">
        <f>J5*Производитель!E29+ТД1!E16</f>
        <v>729747.69230769225</v>
      </c>
      <c r="K14" s="11">
        <f>K5*Производитель!F29+ТД1!F16</f>
        <v>520957.89473684208</v>
      </c>
      <c r="L14" s="11">
        <f t="shared" si="4"/>
        <v>2657029.7018770706</v>
      </c>
      <c r="M14" s="11">
        <f>M5*Производитель!C29+ТД2!C16</f>
        <v>356205.78947368421</v>
      </c>
      <c r="N14" s="11">
        <f>N5*Производитель!D29+ТД2!D16</f>
        <v>669682.5</v>
      </c>
      <c r="O14" s="11">
        <f>O5*Производитель!E29+ТД2!E16</f>
        <v>373873.84615384613</v>
      </c>
      <c r="P14" s="11">
        <f>P5*Производитель!F29+ТД2!F16</f>
        <v>442256.57894736843</v>
      </c>
      <c r="Q14" s="11">
        <f t="shared" si="5"/>
        <v>1842018.7145748991</v>
      </c>
      <c r="R14" s="11">
        <f>R5*Производитель!C29+ТД3!C16</f>
        <v>651426.31578947371</v>
      </c>
      <c r="S14" s="11">
        <f>S5*Производитель!D29+ТД3!D16</f>
        <v>401506.36363636365</v>
      </c>
      <c r="T14" s="11">
        <f>T5*Производитель!E29+ТД3!E16</f>
        <v>274449.23076923075</v>
      </c>
      <c r="U14" s="11">
        <f>U5*Производитель!F29+ТД3!F16</f>
        <v>190552.63157894736</v>
      </c>
      <c r="V14" s="11">
        <f t="shared" si="6"/>
        <v>1517934.5417740156</v>
      </c>
      <c r="W14" s="11">
        <f t="shared" si="1"/>
        <v>2063470</v>
      </c>
      <c r="X14" s="11">
        <f t="shared" si="0"/>
        <v>1849772.5</v>
      </c>
      <c r="Y14" s="11">
        <f t="shared" si="0"/>
        <v>1501319.9999999998</v>
      </c>
      <c r="Z14" s="11">
        <f t="shared" si="0"/>
        <v>1479725</v>
      </c>
      <c r="AA14" s="11">
        <f t="shared" si="0"/>
        <v>6894287.5000000009</v>
      </c>
    </row>
    <row r="15" spans="2:27" x14ac:dyDescent="0.2">
      <c r="B15" t="s">
        <v>16</v>
      </c>
      <c r="C15" s="11">
        <f>C13-C14</f>
        <v>1255392.0000000002</v>
      </c>
      <c r="D15" s="11">
        <f>D13-D14</f>
        <v>935312.4545454547</v>
      </c>
      <c r="E15" s="11">
        <f>E13-E14</f>
        <v>620254.15384615399</v>
      </c>
      <c r="F15" s="11">
        <f>F13-F14</f>
        <v>465194.8421052632</v>
      </c>
      <c r="G15" s="14">
        <f t="shared" si="3"/>
        <v>3276153.4504968724</v>
      </c>
      <c r="H15" s="11">
        <f>H13-H14</f>
        <v>1965936.0000000002</v>
      </c>
      <c r="I15" s="11">
        <f>I13-I14</f>
        <v>1386354.0909090911</v>
      </c>
      <c r="J15" s="11">
        <f>J13-J14</f>
        <v>1644762.4615384617</v>
      </c>
      <c r="K15" s="11">
        <f>K13-K14</f>
        <v>348194.8421052632</v>
      </c>
      <c r="L15" s="11">
        <f t="shared" si="4"/>
        <v>5345247.3945528157</v>
      </c>
      <c r="M15" s="11">
        <f>M13-M14</f>
        <v>999294</v>
      </c>
      <c r="N15" s="11">
        <f>N13-N14</f>
        <v>1825427</v>
      </c>
      <c r="O15" s="11">
        <f>O13-O14</f>
        <v>993381.23076923087</v>
      </c>
      <c r="P15" s="11">
        <f>P13-P14</f>
        <v>444537.36842105258</v>
      </c>
      <c r="Q15" s="11">
        <f t="shared" si="5"/>
        <v>4262639.5991902836</v>
      </c>
      <c r="R15" s="11">
        <f>R13-R14</f>
        <v>1607740</v>
      </c>
      <c r="S15" s="11">
        <f>S13-S14</f>
        <v>959462.4545454547</v>
      </c>
      <c r="T15" s="11">
        <f>T13-T14</f>
        <v>637054.15384615399</v>
      </c>
      <c r="U15" s="11">
        <f>U13-U14</f>
        <v>164164.94736842101</v>
      </c>
      <c r="V15" s="11">
        <f t="shared" si="6"/>
        <v>3368421.5557600297</v>
      </c>
      <c r="W15" s="11">
        <f t="shared" si="1"/>
        <v>5828362</v>
      </c>
      <c r="X15" s="11">
        <f t="shared" si="0"/>
        <v>5106556.0000000009</v>
      </c>
      <c r="Y15" s="11">
        <f t="shared" si="0"/>
        <v>3895452.0000000009</v>
      </c>
      <c r="Z15" s="11">
        <f t="shared" si="0"/>
        <v>1422092</v>
      </c>
      <c r="AA15" s="11">
        <f t="shared" si="0"/>
        <v>16252462.000000002</v>
      </c>
    </row>
    <row r="16" spans="2:27" x14ac:dyDescent="0.2">
      <c r="B16" t="s">
        <v>48</v>
      </c>
      <c r="C16" s="10">
        <f t="shared" ref="C16:AA16" si="7">C15/C5</f>
        <v>31.384800000000006</v>
      </c>
      <c r="D16" s="10">
        <f t="shared" si="7"/>
        <v>31.177081818181822</v>
      </c>
      <c r="E16" s="10">
        <f t="shared" si="7"/>
        <v>31.0127076923077</v>
      </c>
      <c r="F16" s="10">
        <f t="shared" si="7"/>
        <v>15.506494736842107</v>
      </c>
      <c r="G16" s="16">
        <f t="shared" si="7"/>
        <v>27.301278754140604</v>
      </c>
      <c r="H16" s="10">
        <f t="shared" si="7"/>
        <v>28.084800000000005</v>
      </c>
      <c r="I16" s="10">
        <f t="shared" si="7"/>
        <v>27.727081818181823</v>
      </c>
      <c r="J16" s="10">
        <f t="shared" si="7"/>
        <v>27.412707692307695</v>
      </c>
      <c r="K16" s="10">
        <f t="shared" si="7"/>
        <v>11.606494736842107</v>
      </c>
      <c r="L16" s="10">
        <f t="shared" si="7"/>
        <v>25.453559021680075</v>
      </c>
      <c r="M16" s="10">
        <f t="shared" si="7"/>
        <v>33.309800000000003</v>
      </c>
      <c r="N16" s="10">
        <f t="shared" si="7"/>
        <v>33.189581818181821</v>
      </c>
      <c r="O16" s="10">
        <f t="shared" si="7"/>
        <v>33.112707692307694</v>
      </c>
      <c r="P16" s="10">
        <f t="shared" si="7"/>
        <v>17.781494736842102</v>
      </c>
      <c r="Q16" s="10">
        <f t="shared" si="7"/>
        <v>30.447425708502024</v>
      </c>
      <c r="R16" s="10">
        <f t="shared" si="7"/>
        <v>32.154800000000002</v>
      </c>
      <c r="S16" s="10">
        <f t="shared" si="7"/>
        <v>31.982081818181822</v>
      </c>
      <c r="T16" s="10">
        <f t="shared" si="7"/>
        <v>31.8527076923077</v>
      </c>
      <c r="U16" s="10">
        <f t="shared" si="7"/>
        <v>16.4164947368421</v>
      </c>
      <c r="V16" s="10">
        <f t="shared" si="7"/>
        <v>30.622014143272999</v>
      </c>
      <c r="W16" s="10">
        <f t="shared" si="7"/>
        <v>30.675589473684212</v>
      </c>
      <c r="X16" s="10">
        <f t="shared" si="7"/>
        <v>30.948824242424248</v>
      </c>
      <c r="Y16" s="10">
        <f t="shared" si="7"/>
        <v>29.965015384615391</v>
      </c>
      <c r="Z16" s="10">
        <f t="shared" si="7"/>
        <v>14.96938947368421</v>
      </c>
      <c r="AA16" s="10">
        <f t="shared" si="7"/>
        <v>28.021486206896554</v>
      </c>
    </row>
    <row r="17" spans="2:28" x14ac:dyDescent="0.2">
      <c r="B17" t="s">
        <v>49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>
        <f>Производитель!G18</f>
        <v>3000000</v>
      </c>
    </row>
    <row r="18" spans="2:28" x14ac:dyDescent="0.2">
      <c r="B18" t="s">
        <v>18</v>
      </c>
      <c r="C18" s="11"/>
      <c r="D18" s="11"/>
      <c r="E18" s="11"/>
      <c r="F18" s="11"/>
      <c r="G18" s="11">
        <f>G15-G17</f>
        <v>3276153.4504968724</v>
      </c>
      <c r="H18" s="11"/>
      <c r="I18" s="11"/>
      <c r="J18" s="11"/>
      <c r="K18" s="11"/>
      <c r="L18" s="11">
        <f>L15-L17</f>
        <v>5345247.3945528157</v>
      </c>
      <c r="M18" s="11"/>
      <c r="N18" s="11"/>
      <c r="O18" s="11"/>
      <c r="P18" s="11"/>
      <c r="Q18" s="11">
        <f>Q15-Q17</f>
        <v>4262639.5991902836</v>
      </c>
      <c r="R18" s="11"/>
      <c r="S18" s="11"/>
      <c r="T18" s="11"/>
      <c r="U18" s="11"/>
      <c r="V18" s="11">
        <f>V15-V17</f>
        <v>3368421.5557600297</v>
      </c>
      <c r="W18" s="11"/>
      <c r="X18" s="11"/>
      <c r="Y18" s="11"/>
      <c r="Z18" s="11"/>
      <c r="AA18" s="11">
        <f>AA15-AA17</f>
        <v>13252462.000000002</v>
      </c>
    </row>
    <row r="19" spans="2:28" x14ac:dyDescent="0.2">
      <c r="B19" t="s">
        <v>50</v>
      </c>
      <c r="C19" s="11"/>
      <c r="D19" s="11"/>
      <c r="E19" s="11"/>
      <c r="F19" s="11"/>
      <c r="G19" s="11">
        <v>500000</v>
      </c>
      <c r="H19" s="11"/>
      <c r="I19" s="11"/>
      <c r="J19" s="11"/>
      <c r="K19" s="11"/>
      <c r="L19" s="11">
        <f>ТД1!G20</f>
        <v>1400000</v>
      </c>
      <c r="M19" s="11"/>
      <c r="N19" s="11"/>
      <c r="O19" s="11"/>
      <c r="P19" s="11"/>
      <c r="Q19" s="11">
        <f>ТД2!G20</f>
        <v>1100000</v>
      </c>
      <c r="R19" s="11"/>
      <c r="S19" s="11"/>
      <c r="T19" s="11"/>
      <c r="U19" s="11"/>
      <c r="V19" s="11">
        <f>ТД3!G20</f>
        <v>1250000</v>
      </c>
      <c r="W19" s="11"/>
      <c r="X19" s="11"/>
      <c r="Y19" s="11"/>
      <c r="Z19" s="11"/>
      <c r="AA19" s="11">
        <f>G19+L19+Q19+V19</f>
        <v>4250000</v>
      </c>
    </row>
    <row r="20" spans="2:28" x14ac:dyDescent="0.2">
      <c r="B20" t="s">
        <v>20</v>
      </c>
      <c r="C20" s="11"/>
      <c r="D20" s="11"/>
      <c r="E20" s="11"/>
      <c r="F20" s="11"/>
      <c r="G20" s="11">
        <f>G18-G19</f>
        <v>2776153.4504968724</v>
      </c>
      <c r="H20" s="11"/>
      <c r="I20" s="11"/>
      <c r="J20" s="11"/>
      <c r="K20" s="11"/>
      <c r="L20" s="11">
        <f>L18-L19</f>
        <v>3945247.3945528157</v>
      </c>
      <c r="M20" s="11"/>
      <c r="N20" s="11"/>
      <c r="O20" s="11"/>
      <c r="P20" s="11"/>
      <c r="Q20" s="11">
        <f>Q18-Q19</f>
        <v>3162639.5991902836</v>
      </c>
      <c r="R20" s="11"/>
      <c r="S20" s="11"/>
      <c r="T20" s="11"/>
      <c r="U20" s="11"/>
      <c r="V20" s="11">
        <f>V18-V19</f>
        <v>2118421.5557600297</v>
      </c>
      <c r="W20" s="11"/>
      <c r="X20" s="11"/>
      <c r="Y20" s="11"/>
      <c r="Z20" s="11"/>
      <c r="AA20" s="11">
        <f>AA18-AA19</f>
        <v>9002462.0000000019</v>
      </c>
    </row>
    <row r="21" spans="2:28" x14ac:dyDescent="0.2">
      <c r="B21" t="s">
        <v>52</v>
      </c>
      <c r="C21" s="11"/>
      <c r="D21" s="11"/>
      <c r="E21" s="11"/>
      <c r="F21" s="11"/>
      <c r="G21" s="11">
        <v>1000000</v>
      </c>
      <c r="H21" s="11"/>
      <c r="I21" s="11"/>
      <c r="J21" s="11"/>
      <c r="K21" s="11"/>
      <c r="L21" s="11">
        <f>ТД1!G22</f>
        <v>500000</v>
      </c>
      <c r="M21" s="11"/>
      <c r="N21" s="11"/>
      <c r="O21" s="11"/>
      <c r="P21" s="11"/>
      <c r="Q21" s="11">
        <f>ТД2!G22</f>
        <v>350000</v>
      </c>
      <c r="R21" s="11"/>
      <c r="S21" s="11"/>
      <c r="T21" s="11"/>
      <c r="U21" s="11"/>
      <c r="V21" s="11">
        <f>ТД3!G22</f>
        <v>400000</v>
      </c>
      <c r="W21" s="11"/>
      <c r="X21" s="11"/>
      <c r="Y21" s="11"/>
      <c r="Z21" s="11"/>
      <c r="AA21" s="11">
        <f>G21+L21+Q21+V21</f>
        <v>2250000</v>
      </c>
    </row>
    <row r="22" spans="2:28" x14ac:dyDescent="0.2">
      <c r="B22" t="s">
        <v>53</v>
      </c>
      <c r="C22" s="11"/>
      <c r="D22" s="11"/>
      <c r="E22" s="11"/>
      <c r="F22" s="11"/>
      <c r="G22" s="14">
        <f>G20-G21</f>
        <v>1776153.4504968724</v>
      </c>
      <c r="H22" s="11"/>
      <c r="I22" s="11"/>
      <c r="J22" s="11"/>
      <c r="K22" s="11"/>
      <c r="L22" s="11">
        <f>L20-L21</f>
        <v>3445247.3945528157</v>
      </c>
      <c r="M22" s="11"/>
      <c r="N22" s="11"/>
      <c r="O22" s="11"/>
      <c r="P22" s="11"/>
      <c r="Q22" s="11">
        <f>Q20-Q21</f>
        <v>2812639.5991902836</v>
      </c>
      <c r="R22" s="11"/>
      <c r="S22" s="11"/>
      <c r="T22" s="11"/>
      <c r="U22" s="11"/>
      <c r="V22" s="11">
        <f>V20-V21</f>
        <v>1718421.5557600297</v>
      </c>
      <c r="W22" s="11"/>
      <c r="X22" s="11"/>
      <c r="Y22" s="11"/>
      <c r="Z22" s="11"/>
      <c r="AA22" s="11">
        <f>AA20-AA21</f>
        <v>6752462.0000000019</v>
      </c>
    </row>
    <row r="23" spans="2:28" x14ac:dyDescent="0.2">
      <c r="B23" t="s">
        <v>55</v>
      </c>
      <c r="C23" s="11"/>
      <c r="D23" s="11"/>
      <c r="E23" s="11"/>
      <c r="F23" s="11"/>
      <c r="G23" s="15">
        <f>G22/G7</f>
        <v>0.12808491025433566</v>
      </c>
      <c r="H23" s="11"/>
      <c r="I23" s="11"/>
      <c r="J23" s="11"/>
      <c r="K23" s="11"/>
      <c r="L23" s="15">
        <f>L22/L7</f>
        <v>0.14033594275164218</v>
      </c>
      <c r="M23" s="11"/>
      <c r="N23" s="11"/>
      <c r="O23" s="11"/>
      <c r="P23" s="11"/>
      <c r="Q23" s="15">
        <f>Q22/Q7</f>
        <v>0.16259207163467207</v>
      </c>
      <c r="R23" s="11"/>
      <c r="S23" s="11"/>
      <c r="T23" s="11"/>
      <c r="U23" s="11"/>
      <c r="V23" s="15">
        <f>V22/V7</f>
        <v>0.129374858329383</v>
      </c>
      <c r="W23" s="11"/>
      <c r="X23" s="11"/>
      <c r="Y23" s="11"/>
      <c r="Z23" s="11"/>
      <c r="AA23" s="15">
        <f>AA22/AA7</f>
        <v>9.7864250180258225E-2</v>
      </c>
    </row>
    <row r="24" spans="2:28" x14ac:dyDescent="0.2">
      <c r="B24" t="s">
        <v>19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v>1500000</v>
      </c>
    </row>
    <row r="25" spans="2:28" ht="13.5" thickBot="1" x14ac:dyDescent="0.25">
      <c r="B25" t="s">
        <v>54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>
        <f>AA22-AA24</f>
        <v>5252462.0000000019</v>
      </c>
    </row>
    <row r="26" spans="2:28" x14ac:dyDescent="0.2">
      <c r="B26" t="s">
        <v>51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v>3600000</v>
      </c>
      <c r="AB26" s="19" t="s">
        <v>56</v>
      </c>
    </row>
    <row r="27" spans="2:28" x14ac:dyDescent="0.2">
      <c r="B27" t="s">
        <v>22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>AA25-AA26</f>
        <v>1652462.0000000019</v>
      </c>
      <c r="AB27" s="20">
        <f>ТД1!G23+ТД2!G23+ТД3!G23+Производитель!G23</f>
        <v>1652462</v>
      </c>
    </row>
    <row r="28" spans="2:28" ht="13.5" thickBot="1" x14ac:dyDescent="0.2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5">
        <f>AA27/AA6</f>
        <v>2.3949332048276612E-2</v>
      </c>
      <c r="AB28" s="21">
        <f>AA27-AB27</f>
        <v>1.862645149230957E-9</v>
      </c>
    </row>
  </sheetData>
  <mergeCells count="5">
    <mergeCell ref="R3:V3"/>
    <mergeCell ref="W3:AA3"/>
    <mergeCell ref="C3:G3"/>
    <mergeCell ref="H3:L3"/>
    <mergeCell ref="M3:Q3"/>
  </mergeCells>
  <phoneticPr fontId="2" type="noConversion"/>
  <pageMargins left="0.75" right="0.75" top="1" bottom="1" header="0.5" footer="0.5"/>
  <pageSetup paperSize="9" scale="70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Параметры</vt:lpstr>
      <vt:lpstr>ТД1</vt:lpstr>
      <vt:lpstr>ТД2</vt:lpstr>
      <vt:lpstr>ТД3</vt:lpstr>
      <vt:lpstr>Производитель</vt:lpstr>
      <vt:lpstr>Консолидация</vt:lpstr>
      <vt:lpstr>Консолидация!Область_печати</vt:lpstr>
      <vt:lpstr>Параметры!Область_печати</vt:lpstr>
      <vt:lpstr>Производитель!Область_печати</vt:lpstr>
      <vt:lpstr>ТД1!Область_печати</vt:lpstr>
      <vt:lpstr>ТД2!Область_печати</vt:lpstr>
      <vt:lpstr>ТД3!Область_печати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Economica.pro</dc:creator>
  <cp:lastModifiedBy>DELL</cp:lastModifiedBy>
  <cp:revision>1</cp:revision>
  <cp:lastPrinted>2005-04-15T14:40:30Z</cp:lastPrinted>
  <dcterms:created xsi:type="dcterms:W3CDTF">2005-01-12T18:38:25Z</dcterms:created>
  <dcterms:modified xsi:type="dcterms:W3CDTF">2017-05-14T14:02:50Z</dcterms:modified>
</cp:coreProperties>
</file>